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nheterenbv.sharepoint.com/sites/122025RivierhoutIJssel/Gedeelde documenten/General/26 Challenge Zero Emission/"/>
    </mc:Choice>
  </mc:AlternateContent>
  <xr:revisionPtr revIDLastSave="2360" documentId="8_{67D93C66-0D99-4473-9C5D-28C1CAA4DE1D}" xr6:coauthVersionLast="47" xr6:coauthVersionMax="47" xr10:uidLastSave="{FEFF962C-BD8A-4F3E-A6D6-CF0FAD1B933A}"/>
  <bookViews>
    <workbookView xWindow="28680" yWindow="-120" windowWidth="29040" windowHeight="15720" tabRatio="892" activeTab="3" xr2:uid="{00000000-000D-0000-FFFF-FFFF00000000}"/>
  </bookViews>
  <sheets>
    <sheet name="&lt;Wijzigingsblad&gt;" sheetId="8" r:id="rId1"/>
    <sheet name="Inleiding" sheetId="11" r:id="rId2"/>
    <sheet name="Invoerblad Uit Ontwerp" sheetId="9" r:id="rId3"/>
    <sheet name="Buiten Zoekblad" sheetId="10" r:id="rId4"/>
    <sheet name="Gegevens" sheetId="5" r:id="rId5"/>
  </sheets>
  <definedNames>
    <definedName name="_xlnm._FilterDatabase" localSheetId="4" hidden="1">Gegevens!#REF!</definedName>
    <definedName name="_xlnm.Print_Area" localSheetId="3">'Buiten Zoekblad'!$A$1:$I$49</definedName>
    <definedName name="_xlnm.Print_Area" localSheetId="2">'Invoerblad Uit Ontwerp'!$A$1:$I$36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9" l="1"/>
  <c r="S17" i="10"/>
  <c r="S16" i="10"/>
  <c r="C11" i="10"/>
  <c r="L24" i="9"/>
  <c r="M24" i="9" s="1"/>
  <c r="Z19" i="5"/>
  <c r="AD19" i="5"/>
  <c r="Z20" i="5"/>
  <c r="AD20" i="5"/>
  <c r="A6" i="10"/>
  <c r="B12" i="10"/>
  <c r="P16" i="10"/>
  <c r="P17" i="10"/>
  <c r="A5" i="10"/>
  <c r="M8" i="10" s="1"/>
  <c r="A7" i="10"/>
  <c r="M24" i="10" s="1"/>
  <c r="D32" i="10"/>
  <c r="M21" i="9"/>
  <c r="M5" i="9"/>
  <c r="M11" i="9" s="1"/>
  <c r="H1" i="10"/>
  <c r="B1" i="10"/>
  <c r="E5" i="10" s="1"/>
  <c r="H1" i="9"/>
  <c r="B1" i="9"/>
  <c r="E32" i="10"/>
  <c r="E34" i="10"/>
  <c r="D34" i="10"/>
  <c r="D36" i="10"/>
  <c r="M14" i="10" l="1"/>
  <c r="M19" i="10"/>
  <c r="AE5" i="10"/>
  <c r="M16" i="9"/>
  <c r="M25" i="9" s="1"/>
  <c r="A17" i="9" s="1"/>
  <c r="P33" i="10"/>
  <c r="C13" i="9"/>
  <c r="H11" i="10"/>
  <c r="U29" i="10"/>
  <c r="T11" i="10"/>
  <c r="F38" i="10" s="1"/>
  <c r="T10" i="10"/>
  <c r="S9" i="10"/>
  <c r="T9" i="10" s="1"/>
  <c r="C10" i="10"/>
  <c r="Y18" i="5" s="1"/>
  <c r="Z18" i="5" s="1"/>
  <c r="Z36" i="5" s="1"/>
  <c r="Z21" i="5" l="1"/>
  <c r="L27" i="10"/>
  <c r="M27" i="10" s="1"/>
  <c r="AE6" i="10"/>
  <c r="C27" i="10" s="1"/>
  <c r="Z23" i="5" l="1"/>
  <c r="Z27" i="5"/>
  <c r="Z29" i="5" s="1"/>
  <c r="AC18" i="5"/>
  <c r="AD18" i="5" s="1"/>
  <c r="M28" i="10"/>
  <c r="AE25" i="10"/>
  <c r="AE22" i="10"/>
  <c r="AE11" i="10"/>
  <c r="AE18" i="10"/>
  <c r="AE23" i="10"/>
  <c r="AE17" i="10"/>
  <c r="AE14" i="10"/>
  <c r="AE12" i="10"/>
  <c r="AE15" i="10"/>
  <c r="AE13" i="10"/>
  <c r="AE7" i="10"/>
  <c r="AE24" i="10"/>
  <c r="AE10" i="10"/>
  <c r="AE20" i="10"/>
  <c r="AE19" i="10"/>
  <c r="AE9" i="10"/>
  <c r="R16" i="10" s="1"/>
  <c r="AE21" i="10"/>
  <c r="T26" i="10" s="1"/>
  <c r="AE16" i="10"/>
  <c r="AE8" i="10"/>
  <c r="AE26" i="10"/>
  <c r="AD36" i="5" l="1"/>
  <c r="F45" i="10" s="1"/>
  <c r="F47" i="10" s="1"/>
  <c r="AD21" i="5"/>
  <c r="Z31" i="5"/>
  <c r="R17" i="10"/>
  <c r="T17" i="10"/>
  <c r="T16" i="10"/>
  <c r="AD27" i="5" l="1"/>
  <c r="AD29" i="5" s="1"/>
  <c r="AH36" i="5"/>
  <c r="AD23" i="5"/>
  <c r="T18" i="10"/>
  <c r="AD31" i="5" l="1"/>
  <c r="AF31" i="5" s="1"/>
  <c r="R21" i="10"/>
  <c r="R20" i="10"/>
  <c r="S27" i="10" l="1"/>
  <c r="S28" i="10" s="1"/>
  <c r="Q23" i="10"/>
  <c r="Q22" i="10"/>
  <c r="R22" i="10"/>
  <c r="T22" i="10" s="1"/>
  <c r="R23" i="10"/>
  <c r="T23" i="10" s="1"/>
  <c r="T24" i="10" l="1"/>
  <c r="T27" i="10" s="1"/>
  <c r="T28" i="10" s="1"/>
  <c r="V11" i="9"/>
  <c r="W11" i="9"/>
  <c r="X11" i="9"/>
  <c r="Y11" i="9"/>
  <c r="V12" i="9"/>
  <c r="W12" i="9"/>
  <c r="X12" i="9"/>
  <c r="Y12" i="9"/>
  <c r="U12" i="9"/>
  <c r="U11" i="9"/>
  <c r="F39" i="10" l="1"/>
  <c r="T29" i="10"/>
  <c r="A32" i="10" s="1"/>
  <c r="K2" i="5"/>
  <c r="K7" i="5" s="1"/>
  <c r="K1" i="5"/>
  <c r="K6" i="5" s="1"/>
  <c r="G2" i="5"/>
  <c r="G7" i="5" s="1"/>
  <c r="G1" i="5"/>
  <c r="G6" i="5" s="1"/>
  <c r="K3" i="5"/>
  <c r="K8" i="5" s="1"/>
  <c r="G3" i="5"/>
  <c r="G8" i="5" s="1"/>
  <c r="C8" i="5"/>
  <c r="C7" i="5"/>
  <c r="C9" i="5" s="1"/>
  <c r="C6" i="5"/>
  <c r="C5" i="5"/>
  <c r="C4" i="5"/>
  <c r="C3" i="5"/>
  <c r="B45" i="10" l="1"/>
  <c r="B47" i="10" s="1"/>
  <c r="E49" i="10" s="1"/>
  <c r="B40" i="10"/>
  <c r="C40" i="10" l="1"/>
  <c r="B5" i="10"/>
  <c r="C43" i="10" l="1"/>
</calcChain>
</file>

<file path=xl/sharedStrings.xml><?xml version="1.0" encoding="utf-8"?>
<sst xmlns="http://schemas.openxmlformats.org/spreadsheetml/2006/main" count="748" uniqueCount="389">
  <si>
    <t>tw</t>
  </si>
  <si>
    <t>tf</t>
  </si>
  <si>
    <t>b</t>
  </si>
  <si>
    <t>h</t>
  </si>
  <si>
    <t>Designation</t>
  </si>
  <si>
    <t>Dimensions</t>
  </si>
  <si>
    <t>Surface</t>
  </si>
  <si>
    <t>G</t>
  </si>
  <si>
    <t>r</t>
  </si>
  <si>
    <t>A</t>
  </si>
  <si>
    <t>hi</t>
  </si>
  <si>
    <t>d</t>
  </si>
  <si>
    <t>Ø</t>
  </si>
  <si>
    <t>AL</t>
  </si>
  <si>
    <t>mm2</t>
  </si>
  <si>
    <t>m2/m</t>
  </si>
  <si>
    <t>mm3</t>
  </si>
  <si>
    <t>M10</t>
  </si>
  <si>
    <t>M12</t>
  </si>
  <si>
    <t>M16</t>
  </si>
  <si>
    <t>M20</t>
  </si>
  <si>
    <t>M24</t>
  </si>
  <si>
    <t>M27</t>
  </si>
  <si>
    <t>Area</t>
  </si>
  <si>
    <t>Weight</t>
  </si>
  <si>
    <t>Dimensions for detailing</t>
  </si>
  <si>
    <t>Pmin</t>
  </si>
  <si>
    <t>Pmax</t>
  </si>
  <si>
    <t>Wel,y</t>
  </si>
  <si>
    <t>Wpl,y</t>
  </si>
  <si>
    <t>Wel,z</t>
  </si>
  <si>
    <t>Wpl,z</t>
  </si>
  <si>
    <t>HEA 100</t>
  </si>
  <si>
    <t>HEA 120</t>
  </si>
  <si>
    <t>HEA 140</t>
  </si>
  <si>
    <t>HEA 160</t>
  </si>
  <si>
    <t>HEA 180</t>
  </si>
  <si>
    <t>HEA 200</t>
  </si>
  <si>
    <t>HEA 220</t>
  </si>
  <si>
    <t>HEA 240</t>
  </si>
  <si>
    <t>HEA 260</t>
  </si>
  <si>
    <t>HEA 280</t>
  </si>
  <si>
    <t>HEA 300</t>
  </si>
  <si>
    <t>HEA 320</t>
  </si>
  <si>
    <t>HEA 340</t>
  </si>
  <si>
    <t>HEA 360</t>
  </si>
  <si>
    <t>HEA 400</t>
  </si>
  <si>
    <t>HEA 450</t>
  </si>
  <si>
    <t>HEA 500</t>
  </si>
  <si>
    <t>HEB 120</t>
  </si>
  <si>
    <t>HEB 140</t>
  </si>
  <si>
    <t>HEB 160</t>
  </si>
  <si>
    <t>HEB 180</t>
  </si>
  <si>
    <t>HEB 200</t>
  </si>
  <si>
    <t>HEB 220</t>
  </si>
  <si>
    <t>HEB 240</t>
  </si>
  <si>
    <t>HEB 260</t>
  </si>
  <si>
    <t>HEB 280</t>
  </si>
  <si>
    <t>HEB 300</t>
  </si>
  <si>
    <t>HEB 320</t>
  </si>
  <si>
    <t>HEB 340</t>
  </si>
  <si>
    <t>HEB 360</t>
  </si>
  <si>
    <t>HEB 400</t>
  </si>
  <si>
    <t>HEB 450</t>
  </si>
  <si>
    <t>HEB 500</t>
  </si>
  <si>
    <t>HEM 100</t>
  </si>
  <si>
    <t>HEM 120</t>
  </si>
  <si>
    <t>HEM 140</t>
  </si>
  <si>
    <t>HEM 160</t>
  </si>
  <si>
    <t>HEM 180</t>
  </si>
  <si>
    <t>HEM 200</t>
  </si>
  <si>
    <t>HEM 220</t>
  </si>
  <si>
    <t>HEM 240</t>
  </si>
  <si>
    <t>HEM 260</t>
  </si>
  <si>
    <t>HEM 280</t>
  </si>
  <si>
    <t>HEM 300</t>
  </si>
  <si>
    <t>HEM 320</t>
  </si>
  <si>
    <t>HEM 340</t>
  </si>
  <si>
    <t>HEM 360</t>
  </si>
  <si>
    <t>HEM 400</t>
  </si>
  <si>
    <t>HEM 450</t>
  </si>
  <si>
    <t>HEM 500</t>
  </si>
  <si>
    <t>Strong axis y-y </t>
  </si>
  <si>
    <t>Weak axis z-z </t>
  </si>
  <si>
    <t>mm </t>
  </si>
  <si>
    <t>kg/m </t>
  </si>
  <si>
    <t>mm4</t>
  </si>
  <si>
    <t>ly</t>
  </si>
  <si>
    <t>lz</t>
  </si>
  <si>
    <t>HEB 550</t>
  </si>
  <si>
    <t>HEB 600</t>
  </si>
  <si>
    <t>HEB 650</t>
  </si>
  <si>
    <t>HEB 700</t>
  </si>
  <si>
    <t>HEB 800</t>
  </si>
  <si>
    <t>HEB 900</t>
  </si>
  <si>
    <t>HEB 1000</t>
  </si>
  <si>
    <t>HEA 550</t>
  </si>
  <si>
    <t>HEA 600</t>
  </si>
  <si>
    <t>HEA 650</t>
  </si>
  <si>
    <t>HEA 700</t>
  </si>
  <si>
    <t>HEA 800</t>
  </si>
  <si>
    <t>HEA 900</t>
  </si>
  <si>
    <t>HEA 1000</t>
  </si>
  <si>
    <t>H</t>
  </si>
  <si>
    <t>S235</t>
  </si>
  <si>
    <t>S355</t>
  </si>
  <si>
    <t>tl</t>
  </si>
  <si>
    <t>G8</t>
  </si>
  <si>
    <t>Wel;y</t>
  </si>
  <si>
    <t>Wel;z</t>
  </si>
  <si>
    <t>Wpl;y</t>
  </si>
  <si>
    <t>Wpl;z</t>
  </si>
  <si>
    <t>Iy</t>
  </si>
  <si>
    <t>Iz</t>
  </si>
  <si>
    <t>Mrdely</t>
  </si>
  <si>
    <t>Mrdelz</t>
  </si>
  <si>
    <t>Mrdpl</t>
  </si>
  <si>
    <t>Mrdplz</t>
  </si>
  <si>
    <t>kNm</t>
  </si>
  <si>
    <r>
      <t>mm</t>
    </r>
    <r>
      <rPr>
        <sz val="11"/>
        <color theme="1"/>
        <rFont val="Calibri"/>
        <family val="2"/>
      </rPr>
      <t>⁴</t>
    </r>
  </si>
  <si>
    <t>kg/m</t>
  </si>
  <si>
    <t>mm²</t>
  </si>
  <si>
    <t>mm</t>
  </si>
  <si>
    <t>EI y</t>
  </si>
  <si>
    <t>EI Z</t>
  </si>
  <si>
    <t>kNm²</t>
  </si>
  <si>
    <t>Zwakke as</t>
  </si>
  <si>
    <t>Sterke as</t>
  </si>
  <si>
    <t>cm²</t>
  </si>
  <si>
    <t>cm³</t>
  </si>
  <si>
    <t>Section</t>
  </si>
  <si>
    <t>S275</t>
  </si>
  <si>
    <t xml:space="preserve">MPa </t>
  </si>
  <si>
    <t>MPa</t>
  </si>
  <si>
    <t>&lt;NNTB&gt;</t>
  </si>
  <si>
    <t>Staalkwaliteit:</t>
  </si>
  <si>
    <t>Levensduur:</t>
  </si>
  <si>
    <t>CC1</t>
  </si>
  <si>
    <t>CC2</t>
  </si>
  <si>
    <t>CC3</t>
  </si>
  <si>
    <t>Staalkwaliteit</t>
  </si>
  <si>
    <t>stuks</t>
  </si>
  <si>
    <t>m</t>
  </si>
  <si>
    <t>Kolom1</t>
  </si>
  <si>
    <t>[-]</t>
  </si>
  <si>
    <t>onbekend</t>
  </si>
  <si>
    <t>Staat</t>
  </si>
  <si>
    <t>Slecht</t>
  </si>
  <si>
    <t>2.2</t>
  </si>
  <si>
    <t>3.1</t>
  </si>
  <si>
    <t>n.v.t.</t>
  </si>
  <si>
    <t>mm³</t>
  </si>
  <si>
    <t>σs =</t>
  </si>
  <si>
    <t>N/mm²</t>
  </si>
  <si>
    <t>0.1</t>
  </si>
  <si>
    <t>Datum:</t>
  </si>
  <si>
    <t>Versie :</t>
  </si>
  <si>
    <t>U.C.:</t>
  </si>
  <si>
    <t>0.2</t>
  </si>
  <si>
    <t>datum</t>
  </si>
  <si>
    <t>versienummer</t>
  </si>
  <si>
    <t>Wijziger</t>
  </si>
  <si>
    <t>Wijziging</t>
  </si>
  <si>
    <t>Rob Bollen</t>
  </si>
  <si>
    <t>Eerste opzet t.b.v. overleg</t>
  </si>
  <si>
    <t>RBo</t>
  </si>
  <si>
    <t>Wijziging nav overleg januari, toevoegen stroomschema voorzijde en nader uitwerken profielcontrole</t>
  </si>
  <si>
    <t>Med</t>
  </si>
  <si>
    <t>=</t>
  </si>
  <si>
    <t>CC</t>
  </si>
  <si>
    <t>Toepassing:</t>
  </si>
  <si>
    <t>Geometrie</t>
  </si>
  <si>
    <t>Lengte</t>
  </si>
  <si>
    <t>aantal</t>
  </si>
  <si>
    <t>Veiligheidsklasse toepassing</t>
  </si>
  <si>
    <t>Exc:</t>
  </si>
  <si>
    <t>Onbekend</t>
  </si>
  <si>
    <t>S270</t>
  </si>
  <si>
    <t>JR</t>
  </si>
  <si>
    <t>J0</t>
  </si>
  <si>
    <t>J2</t>
  </si>
  <si>
    <t>K2</t>
  </si>
  <si>
    <t>+N</t>
  </si>
  <si>
    <t>+C</t>
  </si>
  <si>
    <t>+AR</t>
  </si>
  <si>
    <t>m²/m</t>
  </si>
  <si>
    <t>UC max</t>
  </si>
  <si>
    <t>ongeroerde schone bodem</t>
  </si>
  <si>
    <t>verontreindigde bodem, geroerde grond</t>
  </si>
  <si>
    <t>zure bodem</t>
  </si>
  <si>
    <t>onverdichte aanvullingsgrond</t>
  </si>
  <si>
    <t>onverdicht agressief ophoogmateriaal</t>
  </si>
  <si>
    <t>Schoon zoet water rond waterlijn</t>
  </si>
  <si>
    <t>Sterk verontreinidgd zoet water</t>
  </si>
  <si>
    <t>Zout water gematigd klimaat spat- laagwaterzone</t>
  </si>
  <si>
    <t>Zout water gematigd klimaat permanent onderwater</t>
  </si>
  <si>
    <t>normale atmosferische omstandigheden</t>
  </si>
  <si>
    <t>mariene omstandigheden (zee)</t>
  </si>
  <si>
    <t>kg/m1</t>
  </si>
  <si>
    <t>kosten</t>
  </si>
  <si>
    <t>Afstand</t>
  </si>
  <si>
    <t>km</t>
  </si>
  <si>
    <t>kg CO2/kg</t>
  </si>
  <si>
    <t>transport</t>
  </si>
  <si>
    <t>CO2 uitst:</t>
  </si>
  <si>
    <t>kg CO2/tonkm</t>
  </si>
  <si>
    <t>ton</t>
  </si>
  <si>
    <t>kg CO2</t>
  </si>
  <si>
    <t>m1</t>
  </si>
  <si>
    <t>tot.:</t>
  </si>
  <si>
    <t>kg</t>
  </si>
  <si>
    <t>Totaal</t>
  </si>
  <si>
    <t>NIEUW</t>
  </si>
  <si>
    <t>HERGEBRUIK</t>
  </si>
  <si>
    <t>CO2 Transport</t>
  </si>
  <si>
    <t>OBV Gegevens Prorail 2021</t>
  </si>
  <si>
    <t>OBV CO2 emissiefactoren</t>
  </si>
  <si>
    <t>CO2 hergebruik</t>
  </si>
  <si>
    <t>CO2 maak</t>
  </si>
  <si>
    <t>Nummer</t>
  </si>
  <si>
    <t>Hoogte</t>
  </si>
  <si>
    <t>Breedte</t>
  </si>
  <si>
    <t>B</t>
  </si>
  <si>
    <t>Dikte flens</t>
  </si>
  <si>
    <t>tf 1</t>
  </si>
  <si>
    <t>tf 2</t>
  </si>
  <si>
    <t>Dikte Lijf</t>
  </si>
  <si>
    <t>nummer:</t>
  </si>
  <si>
    <t>mm⁴</t>
  </si>
  <si>
    <t>mm tw</t>
  </si>
  <si>
    <t>mm tf</t>
  </si>
  <si>
    <t>reductie</t>
  </si>
  <si>
    <t>tf2</t>
  </si>
  <si>
    <t>Meting beschikbaar profiel</t>
  </si>
  <si>
    <t>levensduur</t>
  </si>
  <si>
    <t>mm/zijde</t>
  </si>
  <si>
    <t>afname</t>
  </si>
  <si>
    <t>Mrd0</t>
  </si>
  <si>
    <t>96100</t>
  </si>
  <si>
    <t>114120</t>
  </si>
  <si>
    <t>120120</t>
  </si>
  <si>
    <t>133140</t>
  </si>
  <si>
    <t>120106</t>
  </si>
  <si>
    <t>140140</t>
  </si>
  <si>
    <t>152160</t>
  </si>
  <si>
    <t>140126</t>
  </si>
  <si>
    <t>171180</t>
  </si>
  <si>
    <t>160160</t>
  </si>
  <si>
    <t>190200</t>
  </si>
  <si>
    <t>160146</t>
  </si>
  <si>
    <t>180180</t>
  </si>
  <si>
    <t>210220</t>
  </si>
  <si>
    <t>180166</t>
  </si>
  <si>
    <t>200200</t>
  </si>
  <si>
    <t>230240</t>
  </si>
  <si>
    <t>220220</t>
  </si>
  <si>
    <t>200186</t>
  </si>
  <si>
    <t>250260</t>
  </si>
  <si>
    <t>240240</t>
  </si>
  <si>
    <t>220206</t>
  </si>
  <si>
    <t>270280</t>
  </si>
  <si>
    <t>260260</t>
  </si>
  <si>
    <t>240226</t>
  </si>
  <si>
    <t>290300</t>
  </si>
  <si>
    <t>280280</t>
  </si>
  <si>
    <t>310300</t>
  </si>
  <si>
    <t>330300</t>
  </si>
  <si>
    <t>300300</t>
  </si>
  <si>
    <t>270248</t>
  </si>
  <si>
    <t>350300</t>
  </si>
  <si>
    <t>320300</t>
  </si>
  <si>
    <t>340300</t>
  </si>
  <si>
    <t>290268</t>
  </si>
  <si>
    <t>390300</t>
  </si>
  <si>
    <t>360300</t>
  </si>
  <si>
    <t>310288</t>
  </si>
  <si>
    <t>400300</t>
  </si>
  <si>
    <t>440300</t>
  </si>
  <si>
    <t>340310</t>
  </si>
  <si>
    <t>490300</t>
  </si>
  <si>
    <t>450300</t>
  </si>
  <si>
    <t>359309</t>
  </si>
  <si>
    <t>377309</t>
  </si>
  <si>
    <t>540300</t>
  </si>
  <si>
    <t>500300</t>
  </si>
  <si>
    <t>395308</t>
  </si>
  <si>
    <t>590300</t>
  </si>
  <si>
    <t>432307</t>
  </si>
  <si>
    <t>550300</t>
  </si>
  <si>
    <t>640300</t>
  </si>
  <si>
    <t>478307</t>
  </si>
  <si>
    <t>600300</t>
  </si>
  <si>
    <t>524306</t>
  </si>
  <si>
    <t>690300</t>
  </si>
  <si>
    <t>650300</t>
  </si>
  <si>
    <t>700300</t>
  </si>
  <si>
    <t>790300</t>
  </si>
  <si>
    <t>800300</t>
  </si>
  <si>
    <t>890300</t>
  </si>
  <si>
    <t>900300</t>
  </si>
  <si>
    <t>990300</t>
  </si>
  <si>
    <t>1000300</t>
  </si>
  <si>
    <t>H0=</t>
  </si>
  <si>
    <t>B0=</t>
  </si>
  <si>
    <t>Benodigd profiel:</t>
  </si>
  <si>
    <t>aanpassing invoerblad</t>
  </si>
  <si>
    <t>0.3</t>
  </si>
  <si>
    <t>Uiteen halen zoekbald en benodigd blad</t>
  </si>
  <si>
    <t>Omgeving tgv corrosie</t>
  </si>
  <si>
    <t>Afname corrosie:</t>
  </si>
  <si>
    <t>Jaar</t>
  </si>
  <si>
    <t>[ - ]</t>
  </si>
  <si>
    <t>Profielkeuze:</t>
  </si>
  <si>
    <t>Aantal stuks:</t>
  </si>
  <si>
    <t>Gevonden profiel:</t>
  </si>
  <si>
    <t>VERSCHIL</t>
  </si>
  <si>
    <t>Lengte Balken:</t>
  </si>
  <si>
    <t>&gt;S355</t>
  </si>
  <si>
    <t>EXC1</t>
  </si>
  <si>
    <t>EXC4</t>
  </si>
  <si>
    <t>EXC3</t>
  </si>
  <si>
    <t>EXC2</t>
  </si>
  <si>
    <t>U.C.</t>
  </si>
  <si>
    <t>0.4</t>
  </si>
  <si>
    <t>toevoegen stoplicht in buiten zoekblad</t>
  </si>
  <si>
    <t>5 jaar</t>
  </si>
  <si>
    <t>25 jaar</t>
  </si>
  <si>
    <t>50 jaar</t>
  </si>
  <si>
    <t>75 jaar</t>
  </si>
  <si>
    <t>100 jaar</t>
  </si>
  <si>
    <t>MAX UC:</t>
  </si>
  <si>
    <t>factor:</t>
  </si>
  <si>
    <t>MRd</t>
  </si>
  <si>
    <t>Staat profiel</t>
  </si>
  <si>
    <t>Gaten lijf</t>
  </si>
  <si>
    <t>Gaten flens</t>
  </si>
  <si>
    <t>Reeds gelast</t>
  </si>
  <si>
    <t>Gaaf</t>
  </si>
  <si>
    <t>Afname:</t>
  </si>
  <si>
    <t>MEd</t>
  </si>
  <si>
    <t>/kg</t>
  </si>
  <si>
    <t>MKI</t>
  </si>
  <si>
    <t>n.n.t.b. o.b.v. aanpassing</t>
  </si>
  <si>
    <t>MKI Sloop</t>
  </si>
  <si>
    <t>/m</t>
  </si>
  <si>
    <t>MKI Nieuw</t>
  </si>
  <si>
    <t>MKI Circulair</t>
  </si>
  <si>
    <t>Circulaire oplossing aantonen middels TCS</t>
  </si>
  <si>
    <t>Onderzoeken Circulaire toepassing 
(o.a. NTA8713:2023)</t>
  </si>
  <si>
    <t>Toetsmethodiek Circulair Staal</t>
  </si>
  <si>
    <t>Toepasbaarheid gevonden profiel</t>
  </si>
  <si>
    <t>= grenswaarde toepassen of onderzoek</t>
  </si>
  <si>
    <t>&gt; 1,0 Niet toepasbaar</t>
  </si>
  <si>
    <t>Verduidelijking stoplichtmethode / splitsing  voorkant en achterkant</t>
  </si>
  <si>
    <t>0.5</t>
  </si>
  <si>
    <t>Milieudatabase Circulaire staalconstructie (Circulairstaal®), zwaar constructiestaal in kg o.a. balken, liggers, kolommen (excl. connectors/ verbindingsmiddelen)</t>
  </si>
  <si>
    <t>Milieudatabase Staal constructieprofielen (HEA/HEB/HEM/IPE/UNP)</t>
  </si>
  <si>
    <t>Milieudatabase Sloopproces staal</t>
  </si>
  <si>
    <t>Lengte:</t>
  </si>
  <si>
    <t>Aantal:</t>
  </si>
  <si>
    <t>Totale Besparing MKI</t>
  </si>
  <si>
    <t>Besparing:</t>
  </si>
  <si>
    <t>/ton</t>
  </si>
  <si>
    <t>Toepassing van staal:</t>
  </si>
  <si>
    <t>Ligger, kolom, fundering, etc.</t>
  </si>
  <si>
    <t>Mogelijkheid Circulair</t>
  </si>
  <si>
    <t>Controleblad toepasbaarheid TCS binnen project</t>
  </si>
  <si>
    <r>
      <t>CO</t>
    </r>
    <r>
      <rPr>
        <sz val="12"/>
        <color theme="1"/>
        <rFont val="Calibri"/>
        <family val="2"/>
      </rPr>
      <t>₂</t>
    </r>
  </si>
  <si>
    <t>U.C. verwacht:</t>
  </si>
  <si>
    <t>Profiel Ontwerp</t>
  </si>
  <si>
    <t>Onderzoeken Circulaire toepassing (NTA8713:2023)</t>
  </si>
  <si>
    <t>U.C. waarde is:</t>
  </si>
  <si>
    <t>Moment Med:</t>
  </si>
  <si>
    <t>staalkwaliteit:</t>
  </si>
  <si>
    <t>Controle toepasbaarheid Circulair staal binnen project</t>
  </si>
  <si>
    <t>Controle staalprofiel</t>
  </si>
  <si>
    <t>Besparing</t>
  </si>
  <si>
    <t>De Toetsmethodiek Circulair Staal (TCS) werkt met de volgende drie-stappen: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</si>
  <si>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Op basis van de gevolgklasse, executieklasse en ontwerplevensduur stelt u vast of de TCS geschikt is als toetsmethodiek voor circulair staal binnen uw project;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</si>
  <si>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U voert de ontwerpkenmerken van het benodigde staal in in de TCS;</t>
    </r>
  </si>
  <si>
    <r>
      <t>3.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U voert de parameters in van het circulaire staal waarvan u de geschiktheid wil vaststellen.</t>
    </r>
  </si>
  <si>
    <t>Het resultaat van de drie-stappen is als volgt: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</si>
  <si>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TCS stelt zelf vast of het toepasbaar is als toetsmethodiek voor circulair staal binnen uw project. Indien TCS aangeeft niet toepasbaar te zijn, wordt u doorverwezen naar de NTA8713:2023, hiermee vervallen stap 2 en 3;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</si>
  <si>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TCS is gevuld met broninformatie;</t>
    </r>
  </si>
  <si>
    <r>
      <t>3.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  <scheme val="minor"/>
      </rPr>
      <t>TCS geeft aan of het ingevoerde profielstaal toepasbaar is, of niet toepasbaar. Daarnaast geeft TCS de globale besparing op CO2 en MKI weer.</t>
    </r>
  </si>
  <si>
    <t xml:space="preserve">Met TCS stelt u dus eerst vast of de methodiek geschikt is voor uw opgave. Vervolgens toetst u in een paar minuten tijd of het voorhanden zijnde circulaire staal toepasbaar is in uw project. </t>
  </si>
  <si>
    <t xml:space="preserve">De methodiek is beproefd binnen 3 pilot projecten. Binnen deze 3 pilot projecten heeft TCS binnen 5 minuten de toepasbaarheid van de methodiek en het voorhanden zijnde staal gegeven. </t>
  </si>
  <si>
    <t>0.6</t>
  </si>
  <si>
    <t xml:space="preserve">aanvulling met relevante informatie op informatieblad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</si>
</sst>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5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325928"/>
      <name val="Calibri"/>
      <family val="2"/>
      <scheme val="minor"/>
    </font>
    <font>
      <b/>
      <sz val="16"/>
      <color rgb="FF325928"/>
      <name val="Calibri"/>
      <family val="2"/>
      <scheme val="minor"/>
    </font>
    <font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325928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32592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3">
    <xf numFmtId="0" fontId="0" fillId="0" borderId="0" xfId="0"/>
    <xf numFmtId="0" fontId="1" fillId="0" borderId="1" xfId="0" applyFont="1" applyBorder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9" xfId="0" applyFont="1" applyBorder="1"/>
    <xf numFmtId="0" fontId="0" fillId="0" borderId="11" xfId="0" applyBorder="1"/>
    <xf numFmtId="14" fontId="0" fillId="0" borderId="0" xfId="0" applyNumberFormat="1"/>
    <xf numFmtId="0" fontId="0" fillId="3" borderId="0" xfId="0" applyFill="1"/>
    <xf numFmtId="2" fontId="0" fillId="5" borderId="0" xfId="0" applyNumberFormat="1" applyFill="1"/>
    <xf numFmtId="0" fontId="0" fillId="0" borderId="0" xfId="0" quotePrefix="1"/>
    <xf numFmtId="44" fontId="0" fillId="0" borderId="0" xfId="1" applyFont="1"/>
    <xf numFmtId="0" fontId="15" fillId="0" borderId="0" xfId="2"/>
    <xf numFmtId="44" fontId="0" fillId="0" borderId="0" xfId="0" applyNumberFormat="1"/>
    <xf numFmtId="0" fontId="1" fillId="8" borderId="1" xfId="0" applyFont="1" applyFill="1" applyBorder="1"/>
    <xf numFmtId="0" fontId="7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20" fillId="3" borderId="0" xfId="0" applyFont="1" applyFill="1" applyAlignment="1" applyProtection="1">
      <alignment vertical="top"/>
      <protection locked="0"/>
    </xf>
    <xf numFmtId="0" fontId="20" fillId="3" borderId="0" xfId="0" applyFont="1" applyFill="1" applyProtection="1">
      <protection locked="0"/>
    </xf>
    <xf numFmtId="0" fontId="7" fillId="3" borderId="0" xfId="0" applyFont="1" applyFill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20" fillId="3" borderId="28" xfId="0" applyFont="1" applyFill="1" applyBorder="1" applyAlignment="1" applyProtection="1">
      <alignment horizontal="center"/>
      <protection locked="0"/>
    </xf>
    <xf numFmtId="0" fontId="20" fillId="3" borderId="20" xfId="0" applyFont="1" applyFill="1" applyBorder="1" applyAlignment="1" applyProtection="1">
      <alignment horizontal="center"/>
      <protection locked="0"/>
    </xf>
    <xf numFmtId="0" fontId="27" fillId="6" borderId="0" xfId="0" applyFont="1" applyFill="1" applyProtection="1">
      <protection locked="0"/>
    </xf>
    <xf numFmtId="0" fontId="0" fillId="0" borderId="17" xfId="0" applyBorder="1" applyAlignment="1">
      <alignment horizontal="right"/>
    </xf>
    <xf numFmtId="0" fontId="0" fillId="0" borderId="12" xfId="0" applyBorder="1"/>
    <xf numFmtId="0" fontId="27" fillId="0" borderId="0" xfId="0" applyFont="1" applyAlignment="1">
      <alignment horizontal="right" vertical="top"/>
    </xf>
    <xf numFmtId="0" fontId="0" fillId="4" borderId="0" xfId="0" applyFill="1" applyAlignment="1">
      <alignment vertical="top"/>
    </xf>
    <xf numFmtId="0" fontId="4" fillId="7" borderId="1" xfId="0" applyFont="1" applyFill="1" applyBorder="1" applyAlignment="1">
      <alignment vertical="top"/>
    </xf>
    <xf numFmtId="0" fontId="0" fillId="0" borderId="0" xfId="0" quotePrefix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8" borderId="0" xfId="0" applyFont="1" applyFill="1" applyAlignment="1">
      <alignment vertical="top"/>
    </xf>
    <xf numFmtId="0" fontId="20" fillId="0" borderId="0" xfId="0" applyFont="1"/>
    <xf numFmtId="0" fontId="0" fillId="0" borderId="14" xfId="0" applyBorder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8" xfId="0" applyBorder="1"/>
    <xf numFmtId="0" fontId="20" fillId="0" borderId="18" xfId="0" applyFont="1" applyBorder="1"/>
    <xf numFmtId="0" fontId="20" fillId="0" borderId="0" xfId="0" applyFont="1" applyAlignment="1">
      <alignment horizontal="right"/>
    </xf>
    <xf numFmtId="0" fontId="20" fillId="0" borderId="14" xfId="0" applyFont="1" applyBorder="1"/>
    <xf numFmtId="0" fontId="2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164" fontId="27" fillId="0" borderId="19" xfId="0" applyNumberFormat="1" applyFont="1" applyBorder="1" applyAlignment="1">
      <alignment horizontal="center"/>
    </xf>
    <xf numFmtId="164" fontId="27" fillId="0" borderId="15" xfId="0" applyNumberFormat="1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/>
    <xf numFmtId="0" fontId="5" fillId="0" borderId="0" xfId="0" applyFont="1" applyAlignment="1">
      <alignment horizontal="right" vertical="top"/>
    </xf>
    <xf numFmtId="164" fontId="12" fillId="0" borderId="0" xfId="0" applyNumberFormat="1" applyFont="1" applyAlignment="1">
      <alignment vertical="top"/>
    </xf>
    <xf numFmtId="0" fontId="11" fillId="8" borderId="1" xfId="0" applyFont="1" applyFill="1" applyBorder="1" applyAlignment="1">
      <alignment vertical="top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right"/>
    </xf>
    <xf numFmtId="0" fontId="20" fillId="9" borderId="0" xfId="0" applyFont="1" applyFill="1"/>
    <xf numFmtId="0" fontId="20" fillId="0" borderId="27" xfId="0" applyFont="1" applyBorder="1"/>
    <xf numFmtId="164" fontId="0" fillId="0" borderId="0" xfId="0" applyNumberFormat="1" applyAlignment="1">
      <alignment vertical="top"/>
    </xf>
    <xf numFmtId="0" fontId="1" fillId="9" borderId="0" xfId="0" applyFont="1" applyFill="1" applyAlignment="1">
      <alignment horizontal="center"/>
    </xf>
    <xf numFmtId="164" fontId="3" fillId="0" borderId="0" xfId="0" applyNumberFormat="1" applyFont="1" applyAlignment="1">
      <alignment vertical="top"/>
    </xf>
    <xf numFmtId="0" fontId="20" fillId="0" borderId="2" xfId="0" applyFont="1" applyBorder="1" applyAlignment="1">
      <alignment horizontal="right"/>
    </xf>
    <xf numFmtId="2" fontId="0" fillId="0" borderId="0" xfId="0" applyNumberFormat="1" applyAlignment="1">
      <alignment vertical="top"/>
    </xf>
    <xf numFmtId="0" fontId="20" fillId="0" borderId="2" xfId="0" applyFont="1" applyBorder="1"/>
    <xf numFmtId="0" fontId="20" fillId="0" borderId="22" xfId="0" applyFont="1" applyBorder="1" applyAlignment="1">
      <alignment horizontal="center"/>
    </xf>
    <xf numFmtId="0" fontId="20" fillId="0" borderId="3" xfId="0" applyFont="1" applyBorder="1"/>
    <xf numFmtId="164" fontId="5" fillId="0" borderId="0" xfId="0" applyNumberFormat="1" applyFont="1" applyAlignment="1">
      <alignment vertical="top"/>
    </xf>
    <xf numFmtId="0" fontId="20" fillId="0" borderId="0" xfId="0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0" fillId="0" borderId="1" xfId="0" applyBorder="1" applyAlignment="1">
      <alignment vertical="top"/>
    </xf>
    <xf numFmtId="2" fontId="16" fillId="0" borderId="0" xfId="0" applyNumberFormat="1" applyFont="1" applyAlignment="1">
      <alignment horizontal="right"/>
    </xf>
    <xf numFmtId="0" fontId="16" fillId="0" borderId="0" xfId="0" applyFont="1"/>
    <xf numFmtId="0" fontId="5" fillId="0" borderId="14" xfId="0" applyFont="1" applyBorder="1"/>
    <xf numFmtId="2" fontId="16" fillId="0" borderId="0" xfId="0" applyNumberFormat="1" applyFont="1"/>
    <xf numFmtId="164" fontId="16" fillId="0" borderId="18" xfId="0" applyNumberFormat="1" applyFont="1" applyBorder="1" applyAlignment="1">
      <alignment horizontal="left" vertical="top"/>
    </xf>
    <xf numFmtId="164" fontId="16" fillId="0" borderId="0" xfId="0" applyNumberFormat="1" applyFont="1" applyAlignment="1">
      <alignment vertical="top"/>
    </xf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center"/>
    </xf>
    <xf numFmtId="164" fontId="9" fillId="0" borderId="19" xfId="0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4" fontId="9" fillId="0" borderId="16" xfId="0" applyNumberFormat="1" applyFont="1" applyBorder="1" applyAlignment="1">
      <alignment vertical="top"/>
    </xf>
    <xf numFmtId="2" fontId="20" fillId="0" borderId="0" xfId="0" applyNumberFormat="1" applyFont="1"/>
    <xf numFmtId="0" fontId="20" fillId="0" borderId="12" xfId="0" applyFont="1" applyBorder="1"/>
    <xf numFmtId="0" fontId="20" fillId="0" borderId="13" xfId="0" applyFont="1" applyBorder="1"/>
    <xf numFmtId="0" fontId="20" fillId="0" borderId="0" xfId="0" applyFont="1" applyAlignment="1">
      <alignment vertical="top"/>
    </xf>
    <xf numFmtId="44" fontId="20" fillId="0" borderId="0" xfId="0" applyNumberFormat="1" applyFont="1"/>
    <xf numFmtId="0" fontId="20" fillId="0" borderId="0" xfId="0" quotePrefix="1" applyFont="1"/>
    <xf numFmtId="0" fontId="34" fillId="0" borderId="32" xfId="0" applyFont="1" applyBorder="1" applyAlignment="1">
      <alignment vertical="center" wrapText="1"/>
    </xf>
    <xf numFmtId="0" fontId="34" fillId="0" borderId="33" xfId="0" applyFont="1" applyBorder="1" applyAlignment="1">
      <alignment horizontal="left" vertical="center" wrapText="1" indent="5"/>
    </xf>
    <xf numFmtId="0" fontId="34" fillId="0" borderId="33" xfId="0" applyFont="1" applyBorder="1" applyAlignment="1">
      <alignment vertical="center" wrapText="1"/>
    </xf>
    <xf numFmtId="0" fontId="34" fillId="0" borderId="34" xfId="0" applyFont="1" applyBorder="1" applyAlignment="1">
      <alignment vertical="center" wrapText="1"/>
    </xf>
    <xf numFmtId="0" fontId="25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23" fillId="2" borderId="24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7" fillId="0" borderId="0" xfId="0" applyFont="1"/>
    <xf numFmtId="0" fontId="7" fillId="3" borderId="0" xfId="0" applyFont="1" applyFill="1" applyProtection="1">
      <protection locked="0"/>
    </xf>
    <xf numFmtId="0" fontId="8" fillId="0" borderId="0" xfId="0" applyFont="1" applyAlignment="1">
      <alignment horizontal="center"/>
    </xf>
    <xf numFmtId="0" fontId="13" fillId="3" borderId="17" xfId="0" applyFont="1" applyFill="1" applyBorder="1" applyAlignment="1" applyProtection="1">
      <alignment horizontal="left" vertical="top" wrapText="1"/>
      <protection locked="0"/>
    </xf>
    <xf numFmtId="0" fontId="13" fillId="3" borderId="12" xfId="0" applyFont="1" applyFill="1" applyBorder="1" applyAlignment="1" applyProtection="1">
      <alignment horizontal="left" vertical="top" wrapText="1"/>
      <protection locked="0"/>
    </xf>
    <xf numFmtId="0" fontId="13" fillId="3" borderId="13" xfId="0" applyFont="1" applyFill="1" applyBorder="1" applyAlignment="1" applyProtection="1">
      <alignment horizontal="left" vertical="top" wrapText="1"/>
      <protection locked="0"/>
    </xf>
    <xf numFmtId="0" fontId="13" fillId="3" borderId="19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16" xfId="0" applyFont="1" applyFill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21" fillId="2" borderId="17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0" fillId="0" borderId="0" xfId="0" quotePrefix="1" applyFont="1"/>
    <xf numFmtId="164" fontId="24" fillId="0" borderId="0" xfId="0" applyNumberFormat="1" applyFont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30" fillId="0" borderId="1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164" fontId="27" fillId="2" borderId="24" xfId="0" applyNumberFormat="1" applyFont="1" applyFill="1" applyBorder="1" applyAlignment="1">
      <alignment horizontal="center"/>
    </xf>
    <xf numFmtId="164" fontId="27" fillId="2" borderId="25" xfId="0" applyNumberFormat="1" applyFont="1" applyFill="1" applyBorder="1" applyAlignment="1">
      <alignment horizontal="center"/>
    </xf>
    <xf numFmtId="164" fontId="27" fillId="2" borderId="26" xfId="0" applyNumberFormat="1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18" xfId="0" applyFont="1" applyBorder="1"/>
    <xf numFmtId="0" fontId="20" fillId="0" borderId="0" xfId="0" applyFont="1"/>
    <xf numFmtId="164" fontId="31" fillId="0" borderId="17" xfId="0" applyNumberFormat="1" applyFont="1" applyBorder="1" applyAlignment="1">
      <alignment horizontal="center"/>
    </xf>
    <xf numFmtId="164" fontId="31" fillId="0" borderId="12" xfId="0" applyNumberFormat="1" applyFont="1" applyBorder="1" applyAlignment="1">
      <alignment horizontal="center"/>
    </xf>
    <xf numFmtId="164" fontId="31" fillId="0" borderId="18" xfId="0" applyNumberFormat="1" applyFont="1" applyBorder="1" applyAlignment="1">
      <alignment horizontal="center"/>
    </xf>
    <xf numFmtId="164" fontId="31" fillId="0" borderId="0" xfId="0" applyNumberFormat="1" applyFont="1" applyAlignment="1">
      <alignment horizontal="center"/>
    </xf>
    <xf numFmtId="0" fontId="16" fillId="0" borderId="10" xfId="0" applyFont="1" applyBorder="1"/>
    <xf numFmtId="0" fontId="16" fillId="0" borderId="0" xfId="0" applyFont="1"/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0" fillId="0" borderId="25" xfId="0" applyBorder="1" applyAlignment="1">
      <alignment horizontal="center"/>
    </xf>
    <xf numFmtId="0" fontId="20" fillId="3" borderId="0" xfId="0" applyFont="1" applyFill="1" applyProtection="1">
      <protection locked="0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/>
    </xf>
    <xf numFmtId="1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4" fontId="20" fillId="0" borderId="0" xfId="0" applyNumberFormat="1" applyFont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44" fontId="20" fillId="0" borderId="1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32" fillId="2" borderId="17" xfId="0" applyFont="1" applyFill="1" applyBorder="1" applyAlignment="1">
      <alignment horizontal="center" vertical="top"/>
    </xf>
    <xf numFmtId="0" fontId="32" fillId="2" borderId="12" xfId="0" applyFont="1" applyFill="1" applyBorder="1" applyAlignment="1">
      <alignment horizontal="center" vertical="top"/>
    </xf>
    <xf numFmtId="0" fontId="32" fillId="2" borderId="13" xfId="0" applyFont="1" applyFill="1" applyBorder="1" applyAlignment="1">
      <alignment horizontal="center" vertical="top"/>
    </xf>
    <xf numFmtId="0" fontId="32" fillId="2" borderId="19" xfId="0" applyFont="1" applyFill="1" applyBorder="1" applyAlignment="1">
      <alignment horizontal="center" vertical="top"/>
    </xf>
    <xf numFmtId="0" fontId="32" fillId="2" borderId="15" xfId="0" applyFont="1" applyFill="1" applyBorder="1" applyAlignment="1">
      <alignment horizontal="center" vertical="top"/>
    </xf>
    <xf numFmtId="0" fontId="32" fillId="2" borderId="16" xfId="0" applyFont="1" applyFill="1" applyBorder="1" applyAlignment="1">
      <alignment horizontal="center" vertical="top"/>
    </xf>
    <xf numFmtId="0" fontId="33" fillId="0" borderId="24" xfId="0" applyFont="1" applyBorder="1" applyAlignment="1">
      <alignment horizontal="center" vertical="top"/>
    </xf>
    <xf numFmtId="0" fontId="33" fillId="0" borderId="25" xfId="0" applyFont="1" applyBorder="1" applyAlignment="1">
      <alignment horizontal="center" vertical="top"/>
    </xf>
    <xf numFmtId="0" fontId="33" fillId="0" borderId="26" xfId="0" applyFont="1" applyBorder="1" applyAlignment="1">
      <alignment horizontal="center" vertical="top"/>
    </xf>
    <xf numFmtId="0" fontId="20" fillId="0" borderId="17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64" fontId="19" fillId="0" borderId="30" xfId="0" applyNumberFormat="1" applyFont="1" applyBorder="1" applyAlignment="1">
      <alignment horizontal="center"/>
    </xf>
    <xf numFmtId="164" fontId="19" fillId="0" borderId="29" xfId="0" applyNumberFormat="1" applyFont="1" applyBorder="1" applyAlignment="1">
      <alignment horizontal="center"/>
    </xf>
    <xf numFmtId="0" fontId="28" fillId="3" borderId="0" xfId="0" applyFont="1" applyFill="1" applyAlignment="1" applyProtection="1">
      <alignment horizontal="left" vertical="top" wrapText="1"/>
      <protection locked="0"/>
    </xf>
    <xf numFmtId="0" fontId="20" fillId="0" borderId="18" xfId="0" applyFont="1" applyBorder="1" applyAlignment="1">
      <alignment horizontal="left" vertical="top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16" fillId="0" borderId="3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center" textRotation="9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25928"/>
      <color rgb="FFFF9933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2019300</xdr:colOff>
      <xdr:row>10</xdr:row>
      <xdr:rowOff>38100</xdr:rowOff>
    </xdr:from>
    <xdr:to>
      <xdr:col>1</xdr:col>
      <xdr:colOff>10448835</xdr:colOff>
      <xdr:row>52</xdr:row>
      <xdr:rowOff>123825</xdr:rowOff>
    </xdr:to>
    <xdr:pic>
      <xdr:nvPicPr>
        <xdr:cNvPr id="2" name="Afbeelding 1" descr="Afbeelding met tekst, diagram, schermopname, Lettertype&#10;&#10;Automatisch gegenereerde beschrijving">
          <a:extLst>
            <a:ext uri="{FF2B5EF4-FFF2-40B4-BE49-F238E27FC236}">
              <a16:creationId xmlns:a16="http://schemas.microsoft.com/office/drawing/2014/main" id="{6E5E776A-F311-4945-8820-A16D5387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2152650"/>
          <a:ext cx="8429535" cy="808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451557</xdr:colOff>
      <xdr:row>19</xdr:row>
      <xdr:rowOff>94140</xdr:rowOff>
    </xdr:from>
    <xdr:to>
      <xdr:col>1</xdr:col>
      <xdr:colOff>1299282</xdr:colOff>
      <xdr:row>21</xdr:row>
      <xdr:rowOff>179865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821BAD-7D5D-E1E7-24F5-80CEE551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557" y="3923190"/>
          <a:ext cx="1543050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10</xdr:row>
      <xdr:rowOff>47625</xdr:rowOff>
    </xdr:from>
    <xdr:to>
      <xdr:col>1</xdr:col>
      <xdr:colOff>1451682</xdr:colOff>
      <xdr:row>12</xdr:row>
      <xdr:rowOff>127298</xdr:rowOff>
    </xdr:to>
    <xdr:pic>
      <xdr:nvPicPr>
        <xdr:cNvPr id="4" name="Afbeelding 3" descr="Afbeelding met Graphics, grafische vormgeving, Lettertype, logo&#10;&#10;Automatisch gegenereerde beschrijving">
          <a:extLst>
            <a:ext uri="{FF2B5EF4-FFF2-40B4-BE49-F238E27FC236}">
              <a16:creationId xmlns:a16="http://schemas.microsoft.com/office/drawing/2014/main" id="{195D8875-9A16-2EE6-6344-2164D2B89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62175"/>
          <a:ext cx="1870782" cy="460673"/>
        </a:xfrm>
        <a:prstGeom prst="rect">
          <a:avLst/>
        </a:prstGeom>
      </xdr:spPr>
    </xdr:pic>
    <xdr:clientData/>
  </xdr:twoCellAnchor>
  <xdr:twoCellAnchor editAs="oneCell">
    <xdr:from>
      <xdr:col>0</xdr:col>
      <xdr:colOff>470607</xdr:colOff>
      <xdr:row>16</xdr:row>
      <xdr:rowOff>96510</xdr:rowOff>
    </xdr:from>
    <xdr:to>
      <xdr:col>1</xdr:col>
      <xdr:colOff>1422656</xdr:colOff>
      <xdr:row>19</xdr:row>
      <xdr:rowOff>61932</xdr:rowOff>
    </xdr:to>
    <xdr:pic>
      <xdr:nvPicPr>
        <xdr:cNvPr id="5" name="Graphic 13">
          <a:extLst>
            <a:ext uri="{FF2B5EF4-FFF2-40B4-BE49-F238E27FC236}">
              <a16:creationId xmlns:a16="http://schemas.microsoft.com/office/drawing/2014/main" id="{61A983C3-DA7D-55FA-B6CD-B52D91D25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70607" y="3354060"/>
          <a:ext cx="1647374" cy="536922"/>
        </a:xfrm>
        <a:prstGeom prst="rect">
          <a:avLst/>
        </a:prstGeom>
      </xdr:spPr>
    </xdr:pic>
    <xdr:clientData/>
  </xdr:twoCellAnchor>
  <xdr:twoCellAnchor editAs="oneCell">
    <xdr:from>
      <xdr:col>0</xdr:col>
      <xdr:colOff>401870</xdr:colOff>
      <xdr:row>12</xdr:row>
      <xdr:rowOff>165789</xdr:rowOff>
    </xdr:from>
    <xdr:to>
      <xdr:col>1</xdr:col>
      <xdr:colOff>1992359</xdr:colOff>
      <xdr:row>16</xdr:row>
      <xdr:rowOff>7152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39E85BA-0843-13BC-9643-C952E1243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1870" y="2461314"/>
          <a:ext cx="2285814" cy="603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27214</xdr:colOff>
      <xdr:row>0</xdr:row>
      <xdr:rowOff>1</xdr:rowOff>
    </xdr:from>
    <xdr:to>
      <xdr:col>29</xdr:col>
      <xdr:colOff>176893</xdr:colOff>
      <xdr:row>44</xdr:row>
      <xdr:rowOff>16428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13E450-2610-41B4-1E0A-66CA12AD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6643" y="1"/>
          <a:ext cx="12396107" cy="924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E907D-1DD3-42A1-940E-46D29B2DE11C}" name="Tabel1" displayName="Tabel1" ref="A13:U77" totalsRowShown="0" headerRowDxfId="27" dataDxfId="25" headerRowBorderDxfId="26" tableBorderDxfId="24" totalsRowBorderDxfId="23">
  <autoFilter ref="A13:U77" xr:uid="{BBDE907D-1DD3-42A1-940E-46D29B2DE11C}"/>
  <sortState xmlns:xlrd2="http://schemas.microsoft.com/office/spreadsheetml/2017/richdata2" ref="A14:U77">
    <sortCondition ref="P13:P77"/>
  </sortState>
  <tableColumns count="21">
    <tableColumn id="1" xr3:uid="{9758FD33-8813-4731-B73F-4B11EFA853AB}" name="Designation" dataDxfId="22"/>
    <tableColumn id="2" xr3:uid="{7F879AD9-E85A-4929-A3ED-60F2FAB13EA2}" name="h" dataDxfId="21"/>
    <tableColumn id="3" xr3:uid="{9B9358E5-598A-42F9-95E8-264C132F1E06}" name="b" dataDxfId="20"/>
    <tableColumn id="4" xr3:uid="{47145F95-F4FD-479F-B9BF-3604ABF1398E}" name="tw" dataDxfId="19"/>
    <tableColumn id="5" xr3:uid="{2ECFDF47-F63D-47EC-B518-E30975591913}" name="tf" dataDxfId="18"/>
    <tableColumn id="6" xr3:uid="{17A3B0AC-76A0-4673-A2AB-6BCBA7FF69D5}" name="r" dataDxfId="17"/>
    <tableColumn id="7" xr3:uid="{A9A8D9C3-3349-4443-9F6F-6BB703D29575}" name="A" dataDxfId="16"/>
    <tableColumn id="8" xr3:uid="{95F05BE4-F14E-4DFC-A7D3-70FD2023B351}" name="G" dataDxfId="15"/>
    <tableColumn id="9" xr3:uid="{5B84BA23-1F66-45EF-AF0B-44D2BE2FB5E5}" name="hi" dataDxfId="14"/>
    <tableColumn id="10" xr3:uid="{79F14F2D-1704-4BBE-8AC3-0D76AD30896C}" name="d" dataDxfId="13"/>
    <tableColumn id="11" xr3:uid="{590F9EF2-0AF8-405E-BC9C-D9A1450434F2}" name="Ø" dataDxfId="12"/>
    <tableColumn id="12" xr3:uid="{CAF936CC-AF0A-4F2D-AC57-A3CFA8367003}" name="Pmin" dataDxfId="11"/>
    <tableColumn id="13" xr3:uid="{52B7335D-4E31-4AB3-BA1B-A04B1D154275}" name="Pmax" dataDxfId="10"/>
    <tableColumn id="14" xr3:uid="{03931836-A880-452F-942B-63E7E0C7A318}" name="AL" dataDxfId="9"/>
    <tableColumn id="15" xr3:uid="{1ED2E03C-50AB-436B-BB56-B3C53B37E038}" name="ly" dataDxfId="8"/>
    <tableColumn id="16" xr3:uid="{0B582BA6-2B35-4F9C-88B7-734D8FEFFEF2}" name="Wel,y" dataDxfId="7"/>
    <tableColumn id="17" xr3:uid="{DFF57904-54D8-47CD-991B-AF699C06B043}" name="Wpl,y" dataDxfId="6"/>
    <tableColumn id="18" xr3:uid="{91B42629-A4EE-43C9-BF46-FD25D955A9FE}" name="lz" dataDxfId="5"/>
    <tableColumn id="19" xr3:uid="{9D1B96BB-4400-4720-9BA0-9D30A394DA84}" name="Wel,z" dataDxfId="4"/>
    <tableColumn id="20" xr3:uid="{8B2A88AA-FACC-4D9F-9365-A23965754BED}" name="Wpl,z" dataDxfId="3"/>
    <tableColumn id="21" xr3:uid="{13DF8114-2281-4EF2-BA5D-F521049E5240}" name="Kolom1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milieudatabase.nl/nl/viewer/milieuverklaring/nmd_44595/" TargetMode="External"/><Relationship Id="rId2" Type="http://schemas.openxmlformats.org/officeDocument/2006/relationships/hyperlink" Target="https://milieudatabase.nl/nl/viewer/milieuverklaring/nmd_90901/" TargetMode="External"/><Relationship Id="rId1" Type="http://schemas.openxmlformats.org/officeDocument/2006/relationships/hyperlink" Target="https://milieudatabase.nl/nl/viewer/milieuverklaring/nmd_40447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78D9-27EC-4244-BDCB-83D4F29C73DC}">
  <dimension ref="A1:G8"/>
  <sheetViews>
    <sheetView workbookViewId="0">
      <selection activeCell="A6" sqref="A6"/>
    </sheetView>
  </sheetViews>
  <sheetFormatPr defaultRowHeight="15" x14ac:dyDescent="0.25"/>
  <cols>
    <col min="1" max="1" width="10.42578125" bestFit="1" customWidth="1"/>
    <col min="4" max="4" width="196.42578125" customWidth="1"/>
  </cols>
  <sheetData>
    <row r="1" spans="1:7" x14ac:dyDescent="0.25">
      <c r="A1" t="s">
        <v>159</v>
      </c>
      <c r="B1" t="s">
        <v>160</v>
      </c>
      <c r="C1" t="s">
        <v>161</v>
      </c>
      <c r="D1" t="s">
        <v>162</v>
      </c>
    </row>
    <row r="2" spans="1:7" x14ac:dyDescent="0.25">
      <c r="A2" s="14">
        <v>44904</v>
      </c>
      <c r="B2" t="s">
        <v>154</v>
      </c>
      <c r="C2" t="s">
        <v>165</v>
      </c>
      <c r="D2" t="s">
        <v>164</v>
      </c>
      <c r="F2" t="s">
        <v>165</v>
      </c>
      <c r="G2" t="s">
        <v>163</v>
      </c>
    </row>
    <row r="3" spans="1:7" x14ac:dyDescent="0.25">
      <c r="A3" s="14">
        <v>44972</v>
      </c>
      <c r="B3" t="s">
        <v>154</v>
      </c>
      <c r="C3" t="s">
        <v>165</v>
      </c>
      <c r="D3" t="s">
        <v>166</v>
      </c>
    </row>
    <row r="4" spans="1:7" x14ac:dyDescent="0.25">
      <c r="A4" s="14">
        <v>45044</v>
      </c>
      <c r="B4" t="s">
        <v>158</v>
      </c>
      <c r="C4" t="s">
        <v>165</v>
      </c>
      <c r="D4" t="s">
        <v>305</v>
      </c>
    </row>
    <row r="5" spans="1:7" x14ac:dyDescent="0.25">
      <c r="A5" s="14">
        <v>45055</v>
      </c>
      <c r="B5" t="s">
        <v>306</v>
      </c>
      <c r="C5" t="s">
        <v>165</v>
      </c>
      <c r="D5" t="s">
        <v>307</v>
      </c>
    </row>
    <row r="6" spans="1:7" x14ac:dyDescent="0.25">
      <c r="A6" s="14">
        <v>45076</v>
      </c>
      <c r="B6" t="s">
        <v>323</v>
      </c>
      <c r="C6" t="s">
        <v>165</v>
      </c>
      <c r="D6" t="s">
        <v>324</v>
      </c>
    </row>
    <row r="7" spans="1:7" x14ac:dyDescent="0.25">
      <c r="A7" s="14">
        <v>45230</v>
      </c>
      <c r="B7" t="s">
        <v>354</v>
      </c>
      <c r="C7" t="s">
        <v>165</v>
      </c>
      <c r="D7" t="s">
        <v>353</v>
      </c>
    </row>
    <row r="8" spans="1:7" x14ac:dyDescent="0.25">
      <c r="A8" s="14">
        <v>45303</v>
      </c>
      <c r="B8" t="s">
        <v>387</v>
      </c>
      <c r="C8" t="s">
        <v>165</v>
      </c>
      <c r="D8" t="s">
        <v>388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0BE0-AF48-4A49-825A-3668B0B6B415}">
  <dimension ref="A1:B10"/>
  <sheetViews>
    <sheetView workbookViewId="0">
      <selection activeCell="B6" sqref="B6"/>
    </sheetView>
  </sheetViews>
  <sheetFormatPr defaultRowHeight="15" x14ac:dyDescent="0.25"/>
  <cols>
    <col min="1" max="1" width="10.42578125" bestFit="1" customWidth="1"/>
    <col min="2" max="2" width="185.7109375" bestFit="1" customWidth="1"/>
  </cols>
  <sheetData>
    <row r="1" spans="1:2" x14ac:dyDescent="0.25">
      <c r="A1" s="14"/>
      <c r="B1" s="100" t="s">
        <v>377</v>
      </c>
    </row>
    <row r="2" spans="1:2" x14ac:dyDescent="0.25">
      <c r="A2" s="14"/>
      <c r="B2" s="101" t="s">
        <v>378</v>
      </c>
    </row>
    <row r="3" spans="1:2" x14ac:dyDescent="0.25">
      <c r="A3" s="14"/>
      <c r="B3" s="101" t="s">
        <v>379</v>
      </c>
    </row>
    <row r="4" spans="1:2" x14ac:dyDescent="0.25">
      <c r="A4" s="14"/>
      <c r="B4" s="101" t="s">
        <v>380</v>
      </c>
    </row>
    <row r="5" spans="1:2" x14ac:dyDescent="0.25">
      <c r="A5" s="14"/>
      <c r="B5" s="102" t="s">
        <v>381</v>
      </c>
    </row>
    <row r="6" spans="1:2" x14ac:dyDescent="0.25">
      <c r="A6" s="14"/>
      <c r="B6" s="101" t="s">
        <v>382</v>
      </c>
    </row>
    <row r="7" spans="1:2" x14ac:dyDescent="0.25">
      <c r="B7" s="101" t="s">
        <v>383</v>
      </c>
    </row>
    <row r="8" spans="1:2" x14ac:dyDescent="0.25">
      <c r="B8" s="101" t="s">
        <v>384</v>
      </c>
    </row>
    <row r="9" spans="1:2" x14ac:dyDescent="0.25">
      <c r="B9" s="102" t="s">
        <v>385</v>
      </c>
    </row>
    <row r="10" spans="1:2" ht="15.75" thickBot="1" x14ac:dyDescent="0.3">
      <c r="B10" s="103" t="s">
        <v>386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AE13-74FC-403C-8215-399350798E2B}">
  <sheetPr>
    <tabColor theme="7" tint="0.39997558519241921"/>
    <pageSetUpPr fitToPage="1"/>
  </sheetPr>
  <dimension ref="A1:AB42"/>
  <sheetViews>
    <sheetView view="pageBreakPreview" zoomScale="70" zoomScaleNormal="100" zoomScaleSheetLayoutView="70" workbookViewId="0">
      <selection activeCell="H8" sqref="H8"/>
    </sheetView>
  </sheetViews>
  <sheetFormatPr defaultRowHeight="15" x14ac:dyDescent="0.25"/>
  <cols>
    <col min="1" max="1" width="15" bestFit="1" customWidth="1"/>
    <col min="2" max="2" width="5.85546875" customWidth="1"/>
    <col min="3" max="3" width="5.7109375" bestFit="1" customWidth="1"/>
    <col min="4" max="4" width="11.7109375" bestFit="1" customWidth="1"/>
    <col min="5" max="5" width="13.42578125" customWidth="1"/>
    <col min="6" max="6" width="9.5703125" customWidth="1"/>
    <col min="7" max="7" width="9.140625" customWidth="1"/>
    <col min="8" max="8" width="6.5703125" customWidth="1"/>
    <col min="9" max="9" width="9.28515625" customWidth="1"/>
  </cols>
  <sheetData>
    <row r="1" spans="1:28" ht="15.75" thickBot="1" x14ac:dyDescent="0.3">
      <c r="A1" s="3" t="s">
        <v>156</v>
      </c>
      <c r="B1" t="str">
        <f>VLOOKUP(MAX('&lt;Wijzigingsblad&gt;'!A2:A33),'&lt;Wijzigingsblad&gt;'!A2:D33,2,FALSE)</f>
        <v>0.6</v>
      </c>
      <c r="G1" s="3" t="s">
        <v>155</v>
      </c>
      <c r="H1" s="127">
        <f ca="1">TODAY()</f>
        <v>45307</v>
      </c>
      <c r="I1" s="127"/>
      <c r="U1" s="17">
        <v>5</v>
      </c>
      <c r="V1">
        <v>25</v>
      </c>
      <c r="W1">
        <v>50</v>
      </c>
      <c r="X1">
        <v>75</v>
      </c>
      <c r="Y1">
        <v>100</v>
      </c>
    </row>
    <row r="2" spans="1:28" x14ac:dyDescent="0.25">
      <c r="A2" s="128" t="s">
        <v>349</v>
      </c>
      <c r="B2" s="129"/>
      <c r="C2" s="129"/>
      <c r="D2" s="129"/>
      <c r="E2" s="129"/>
      <c r="F2" s="129"/>
      <c r="G2" s="129"/>
      <c r="H2" s="129"/>
      <c r="I2" s="130"/>
      <c r="K2" s="27" t="s">
        <v>137</v>
      </c>
      <c r="L2" s="27">
        <v>1</v>
      </c>
      <c r="M2" s="27"/>
      <c r="S2" s="3" t="s">
        <v>187</v>
      </c>
      <c r="T2">
        <v>2</v>
      </c>
      <c r="U2">
        <v>0</v>
      </c>
      <c r="V2">
        <v>0.3</v>
      </c>
      <c r="W2">
        <v>0.6</v>
      </c>
      <c r="X2">
        <v>0.9</v>
      </c>
      <c r="Y2">
        <v>1.2</v>
      </c>
      <c r="AA2" t="s">
        <v>325</v>
      </c>
      <c r="AB2">
        <v>5</v>
      </c>
    </row>
    <row r="3" spans="1:28" ht="15.75" thickBot="1" x14ac:dyDescent="0.3">
      <c r="A3" s="131"/>
      <c r="B3" s="132"/>
      <c r="C3" s="132"/>
      <c r="D3" s="132"/>
      <c r="E3" s="132"/>
      <c r="F3" s="132"/>
      <c r="G3" s="132"/>
      <c r="H3" s="132"/>
      <c r="I3" s="133"/>
      <c r="K3" s="27" t="s">
        <v>138</v>
      </c>
      <c r="L3" s="27">
        <v>3</v>
      </c>
      <c r="M3" s="27"/>
      <c r="S3" s="3" t="s">
        <v>188</v>
      </c>
      <c r="T3">
        <v>3</v>
      </c>
      <c r="U3">
        <v>0.15</v>
      </c>
      <c r="V3">
        <v>0.75</v>
      </c>
      <c r="W3">
        <v>1.5</v>
      </c>
      <c r="X3">
        <v>2.25</v>
      </c>
      <c r="Y3">
        <v>3</v>
      </c>
      <c r="AA3" t="s">
        <v>326</v>
      </c>
      <c r="AB3">
        <v>25</v>
      </c>
    </row>
    <row r="4" spans="1:28" ht="24" thickBot="1" x14ac:dyDescent="0.3">
      <c r="A4" s="123" t="s">
        <v>366</v>
      </c>
      <c r="B4" s="124"/>
      <c r="C4" s="124"/>
      <c r="D4" s="124"/>
      <c r="E4" s="124"/>
      <c r="F4" s="124"/>
      <c r="G4" s="124"/>
      <c r="H4" s="124"/>
      <c r="I4" s="125"/>
      <c r="K4" s="27" t="s">
        <v>139</v>
      </c>
      <c r="L4" s="27">
        <v>5</v>
      </c>
      <c r="M4" s="27"/>
      <c r="S4" s="3" t="s">
        <v>189</v>
      </c>
      <c r="T4">
        <v>4</v>
      </c>
      <c r="U4">
        <v>0.2</v>
      </c>
      <c r="V4">
        <v>1</v>
      </c>
      <c r="W4">
        <v>1.75</v>
      </c>
      <c r="X4">
        <v>2.5</v>
      </c>
      <c r="Y4">
        <v>3.25</v>
      </c>
      <c r="AA4" t="s">
        <v>327</v>
      </c>
      <c r="AB4">
        <v>50</v>
      </c>
    </row>
    <row r="5" spans="1:28" ht="18.75" x14ac:dyDescent="0.3">
      <c r="A5" s="126" t="s">
        <v>174</v>
      </c>
      <c r="B5" s="126"/>
      <c r="C5" s="126"/>
      <c r="D5" s="126"/>
      <c r="F5" s="126" t="s">
        <v>171</v>
      </c>
      <c r="G5" s="126"/>
      <c r="H5" s="126"/>
      <c r="I5" s="126"/>
      <c r="K5" s="27"/>
      <c r="L5" s="28" t="s">
        <v>331</v>
      </c>
      <c r="M5" s="27">
        <f>VLOOKUP(B6,K2:L4,2,FALSE)</f>
        <v>1</v>
      </c>
      <c r="S5" s="3" t="s">
        <v>190</v>
      </c>
      <c r="T5">
        <v>5</v>
      </c>
      <c r="U5">
        <v>0.18</v>
      </c>
      <c r="V5">
        <v>0.7</v>
      </c>
      <c r="W5">
        <v>1.2</v>
      </c>
      <c r="X5">
        <v>1.7</v>
      </c>
      <c r="Y5">
        <v>2.2000000000000002</v>
      </c>
      <c r="AA5" t="s">
        <v>328</v>
      </c>
      <c r="AB5">
        <v>75</v>
      </c>
    </row>
    <row r="6" spans="1:28" ht="18.75" x14ac:dyDescent="0.3">
      <c r="A6" s="29" t="s">
        <v>169</v>
      </c>
      <c r="B6" s="106" t="s">
        <v>137</v>
      </c>
      <c r="C6" s="106"/>
      <c r="D6" s="29" t="s">
        <v>311</v>
      </c>
      <c r="F6" s="114" t="s">
        <v>312</v>
      </c>
      <c r="G6" s="114"/>
      <c r="H6" s="106" t="s">
        <v>55</v>
      </c>
      <c r="I6" s="106"/>
      <c r="K6" s="27" t="s">
        <v>325</v>
      </c>
      <c r="L6" s="27">
        <v>0.1</v>
      </c>
      <c r="M6" s="27"/>
      <c r="S6" s="3" t="s">
        <v>191</v>
      </c>
      <c r="T6">
        <v>6</v>
      </c>
      <c r="U6">
        <v>0.5</v>
      </c>
      <c r="V6">
        <v>2</v>
      </c>
      <c r="W6">
        <v>3.25</v>
      </c>
      <c r="X6">
        <v>4.5</v>
      </c>
      <c r="Y6">
        <v>5.75</v>
      </c>
      <c r="AA6" t="s">
        <v>329</v>
      </c>
      <c r="AB6">
        <v>100</v>
      </c>
    </row>
    <row r="7" spans="1:28" ht="18.75" x14ac:dyDescent="0.3">
      <c r="A7" s="29" t="s">
        <v>175</v>
      </c>
      <c r="B7" s="106" t="s">
        <v>318</v>
      </c>
      <c r="C7" s="106"/>
      <c r="D7" s="29" t="s">
        <v>311</v>
      </c>
      <c r="F7" s="114" t="s">
        <v>135</v>
      </c>
      <c r="G7" s="114"/>
      <c r="H7" s="106" t="s">
        <v>104</v>
      </c>
      <c r="I7" s="106"/>
      <c r="K7" s="27" t="s">
        <v>326</v>
      </c>
      <c r="L7" s="27">
        <v>0.2</v>
      </c>
      <c r="M7" s="27"/>
      <c r="S7" s="3" t="s">
        <v>192</v>
      </c>
      <c r="T7">
        <v>7</v>
      </c>
      <c r="U7">
        <v>0.15</v>
      </c>
      <c r="V7">
        <v>0.55000000000000004</v>
      </c>
      <c r="W7">
        <v>0.9</v>
      </c>
      <c r="X7">
        <v>1.1499999999999999</v>
      </c>
      <c r="Y7">
        <v>1.4</v>
      </c>
    </row>
    <row r="8" spans="1:28" ht="18.75" x14ac:dyDescent="0.3">
      <c r="A8" s="29" t="s">
        <v>136</v>
      </c>
      <c r="B8" s="106" t="s">
        <v>327</v>
      </c>
      <c r="C8" s="106"/>
      <c r="D8" s="29" t="s">
        <v>310</v>
      </c>
      <c r="F8" s="114" t="s">
        <v>368</v>
      </c>
      <c r="G8" s="114"/>
      <c r="H8" s="26">
        <v>0.5</v>
      </c>
      <c r="I8" s="30" t="s">
        <v>311</v>
      </c>
      <c r="K8" s="31" t="s">
        <v>327</v>
      </c>
      <c r="L8" s="31">
        <v>0.3</v>
      </c>
      <c r="M8" s="31"/>
      <c r="S8" s="3" t="s">
        <v>193</v>
      </c>
      <c r="T8">
        <v>8</v>
      </c>
      <c r="U8">
        <v>0.3</v>
      </c>
      <c r="V8">
        <v>1.3</v>
      </c>
      <c r="W8">
        <v>2.2999999999999998</v>
      </c>
      <c r="X8">
        <v>3.3</v>
      </c>
      <c r="Y8">
        <v>4.3</v>
      </c>
    </row>
    <row r="9" spans="1:28" ht="18.75" x14ac:dyDescent="0.3">
      <c r="F9" s="32" t="s">
        <v>172</v>
      </c>
      <c r="G9" s="32" t="s">
        <v>168</v>
      </c>
      <c r="H9" s="26">
        <v>5</v>
      </c>
      <c r="I9" s="30" t="s">
        <v>142</v>
      </c>
      <c r="K9" s="31" t="s">
        <v>328</v>
      </c>
      <c r="L9" s="31">
        <v>0.75</v>
      </c>
      <c r="M9" s="31"/>
      <c r="S9" s="3" t="s">
        <v>194</v>
      </c>
      <c r="T9">
        <v>9</v>
      </c>
      <c r="U9">
        <v>0.55000000000000004</v>
      </c>
      <c r="V9">
        <v>1.9</v>
      </c>
      <c r="W9">
        <v>3.75</v>
      </c>
      <c r="X9">
        <v>5.6</v>
      </c>
      <c r="Y9">
        <v>7.5</v>
      </c>
    </row>
    <row r="10" spans="1:28" ht="19.5" thickBot="1" x14ac:dyDescent="0.35">
      <c r="F10" s="32" t="s">
        <v>173</v>
      </c>
      <c r="G10" s="32" t="s">
        <v>168</v>
      </c>
      <c r="H10" s="22">
        <v>20</v>
      </c>
      <c r="I10" s="29" t="s">
        <v>141</v>
      </c>
      <c r="K10" s="31" t="s">
        <v>329</v>
      </c>
      <c r="L10" s="31">
        <v>1</v>
      </c>
      <c r="M10" s="31"/>
      <c r="S10" s="3" t="s">
        <v>195</v>
      </c>
      <c r="T10">
        <v>10</v>
      </c>
      <c r="U10">
        <v>0.25</v>
      </c>
      <c r="V10">
        <v>0.9</v>
      </c>
      <c r="W10">
        <v>1.75</v>
      </c>
      <c r="X10">
        <v>2.6</v>
      </c>
      <c r="Y10">
        <v>3.5</v>
      </c>
    </row>
    <row r="11" spans="1:28" ht="19.5" thickBot="1" x14ac:dyDescent="0.35">
      <c r="A11" s="116" t="s">
        <v>308</v>
      </c>
      <c r="B11" s="116"/>
      <c r="C11" s="116"/>
      <c r="D11" s="116"/>
      <c r="F11" s="111" t="s">
        <v>363</v>
      </c>
      <c r="G11" s="112"/>
      <c r="H11" s="112"/>
      <c r="I11" s="113"/>
      <c r="K11" s="31"/>
      <c r="L11" s="31"/>
      <c r="M11" s="31">
        <f>VLOOKUP(B8,K6:L10,2,FALSE)*M5</f>
        <v>0.3</v>
      </c>
      <c r="S11" s="3" t="s">
        <v>196</v>
      </c>
      <c r="T11">
        <v>11</v>
      </c>
      <c r="U11">
        <f>0.01*U1</f>
        <v>0.05</v>
      </c>
      <c r="V11">
        <f t="shared" ref="V11:Y11" si="0">0.01*V1</f>
        <v>0.25</v>
      </c>
      <c r="W11">
        <f t="shared" si="0"/>
        <v>0.5</v>
      </c>
      <c r="X11">
        <f t="shared" si="0"/>
        <v>0.75</v>
      </c>
      <c r="Y11">
        <f t="shared" si="0"/>
        <v>1</v>
      </c>
    </row>
    <row r="12" spans="1:28" ht="18.75" x14ac:dyDescent="0.3">
      <c r="A12" s="115" t="s">
        <v>187</v>
      </c>
      <c r="B12" s="115"/>
      <c r="C12" s="115"/>
      <c r="D12" s="115"/>
      <c r="F12" s="117" t="s">
        <v>364</v>
      </c>
      <c r="G12" s="118"/>
      <c r="H12" s="118"/>
      <c r="I12" s="119"/>
      <c r="K12" s="31" t="s">
        <v>104</v>
      </c>
      <c r="L12" s="31">
        <v>0.1</v>
      </c>
      <c r="M12" s="31"/>
      <c r="S12" s="3" t="s">
        <v>197</v>
      </c>
      <c r="T12">
        <v>12</v>
      </c>
      <c r="U12">
        <f>0.02*U1</f>
        <v>0.1</v>
      </c>
      <c r="V12">
        <f t="shared" ref="V12:Y12" si="1">0.02*V1</f>
        <v>0.5</v>
      </c>
      <c r="W12">
        <f t="shared" si="1"/>
        <v>1</v>
      </c>
      <c r="X12">
        <f t="shared" si="1"/>
        <v>1.5</v>
      </c>
      <c r="Y12">
        <f t="shared" si="1"/>
        <v>2</v>
      </c>
    </row>
    <row r="13" spans="1:28" ht="19.5" thickBot="1" x14ac:dyDescent="0.35">
      <c r="A13" s="114" t="s">
        <v>309</v>
      </c>
      <c r="B13" s="114"/>
      <c r="C13" s="29">
        <f>HLOOKUP(VLOOKUP(B8,AA2:AB6,2,),$U$1:$Y$12,VLOOKUP(A12,S2:T12,2,FALSE),FALSE)</f>
        <v>0.6</v>
      </c>
      <c r="D13" s="29" t="str">
        <f>"mm/zijde/"&amp;B8</f>
        <v>mm/zijde/50 jaar</v>
      </c>
      <c r="F13" s="120"/>
      <c r="G13" s="121"/>
      <c r="H13" s="121"/>
      <c r="I13" s="122"/>
      <c r="K13" s="31" t="s">
        <v>177</v>
      </c>
      <c r="L13" s="31">
        <v>0.2</v>
      </c>
      <c r="M13" s="31"/>
    </row>
    <row r="14" spans="1:28" ht="15.75" thickBot="1" x14ac:dyDescent="0.3">
      <c r="K14" s="31" t="s">
        <v>105</v>
      </c>
      <c r="L14" s="31">
        <v>0.4</v>
      </c>
      <c r="M14" s="31"/>
    </row>
    <row r="15" spans="1:28" ht="27" thickBot="1" x14ac:dyDescent="0.45">
      <c r="A15" s="107" t="s">
        <v>365</v>
      </c>
      <c r="B15" s="108"/>
      <c r="C15" s="108"/>
      <c r="D15" s="108"/>
      <c r="E15" s="108"/>
      <c r="F15" s="108"/>
      <c r="G15" s="108"/>
      <c r="H15" s="108"/>
      <c r="I15" s="109"/>
      <c r="J15" s="27"/>
      <c r="K15" s="27" t="s">
        <v>317</v>
      </c>
      <c r="L15" s="27">
        <v>1</v>
      </c>
      <c r="M15" s="27"/>
    </row>
    <row r="16" spans="1:28" x14ac:dyDescent="0.25">
      <c r="J16" s="27"/>
      <c r="K16" s="27"/>
      <c r="L16" s="27"/>
      <c r="M16" s="27">
        <f>VLOOKUP(H7,K12:L15,2,FALSE)*M5</f>
        <v>0.1</v>
      </c>
    </row>
    <row r="17" spans="1:25" ht="15" customHeight="1" x14ac:dyDescent="0.25">
      <c r="A17" s="105">
        <f>M25</f>
        <v>0.60000000000000009</v>
      </c>
      <c r="B17" s="105"/>
      <c r="C17" s="105"/>
      <c r="D17" s="105"/>
      <c r="E17" s="105"/>
      <c r="F17" s="105"/>
      <c r="G17" s="105"/>
      <c r="H17" s="105"/>
      <c r="I17" s="105"/>
      <c r="J17" s="27"/>
      <c r="K17" s="27" t="s">
        <v>318</v>
      </c>
      <c r="L17" s="27">
        <v>0</v>
      </c>
      <c r="M17" s="27"/>
    </row>
    <row r="18" spans="1:25" ht="15" customHeight="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27"/>
      <c r="K18" s="27" t="s">
        <v>321</v>
      </c>
      <c r="L18" s="27">
        <v>0.5</v>
      </c>
      <c r="M18" s="27"/>
    </row>
    <row r="19" spans="1:25" ht="1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27"/>
      <c r="K19" s="27" t="s">
        <v>320</v>
      </c>
      <c r="L19" s="27">
        <v>1</v>
      </c>
      <c r="M19" s="27"/>
    </row>
    <row r="20" spans="1:25" ht="15" customHeight="1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27"/>
      <c r="K20" s="27" t="s">
        <v>319</v>
      </c>
      <c r="L20" s="27">
        <v>1</v>
      </c>
      <c r="M20" s="27"/>
    </row>
    <row r="21" spans="1:25" ht="15" customHeight="1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27"/>
      <c r="K21" s="27" t="s">
        <v>330</v>
      </c>
      <c r="L21" s="27"/>
      <c r="M21" s="27">
        <f>VLOOKUP(B7,K17:L20,2,FALSE)</f>
        <v>0</v>
      </c>
    </row>
    <row r="22" spans="1:25" ht="15" customHeight="1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31"/>
      <c r="K22" s="27" t="s">
        <v>137</v>
      </c>
      <c r="L22" s="27">
        <v>0.75</v>
      </c>
      <c r="M22" s="27"/>
    </row>
    <row r="23" spans="1:25" ht="18.75" customHeight="1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31"/>
      <c r="K23" s="27" t="s">
        <v>138</v>
      </c>
      <c r="L23" s="27">
        <v>0.6</v>
      </c>
    </row>
    <row r="24" spans="1:25" ht="1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31"/>
      <c r="K24" s="27" t="s">
        <v>322</v>
      </c>
      <c r="L24" s="27">
        <f>IF(B6=K22,L22,L23)</f>
        <v>0.75</v>
      </c>
      <c r="M24" s="27">
        <f>IF(L24&gt;H8,0.2,1)</f>
        <v>0.2</v>
      </c>
    </row>
    <row r="25" spans="1:25" ht="15" customHeight="1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31"/>
      <c r="K25" s="27"/>
      <c r="L25" s="27"/>
      <c r="M25" s="27">
        <f>SUM(M11:M24)</f>
        <v>0.60000000000000009</v>
      </c>
    </row>
    <row r="26" spans="1:25" ht="15" customHeight="1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31"/>
    </row>
    <row r="27" spans="1:25" x14ac:dyDescent="0.25">
      <c r="J27" s="31"/>
    </row>
    <row r="28" spans="1:25" ht="15" customHeight="1" x14ac:dyDescent="0.25">
      <c r="A28" s="110">
        <v>1</v>
      </c>
      <c r="B28" s="104" t="s">
        <v>347</v>
      </c>
      <c r="C28" s="104"/>
      <c r="D28" s="104"/>
      <c r="E28" s="104"/>
      <c r="F28" s="104"/>
      <c r="G28" s="104"/>
      <c r="H28" s="104"/>
      <c r="I28" s="104"/>
      <c r="J28" s="31"/>
    </row>
    <row r="29" spans="1:25" ht="15" customHeight="1" x14ac:dyDescent="0.25">
      <c r="A29" s="110"/>
      <c r="B29" s="104"/>
      <c r="C29" s="104"/>
      <c r="D29" s="104"/>
      <c r="E29" s="104"/>
      <c r="F29" s="104"/>
      <c r="G29" s="104"/>
      <c r="H29" s="104"/>
      <c r="I29" s="104"/>
      <c r="J29" s="27"/>
    </row>
    <row r="30" spans="1:25" ht="15" customHeight="1" x14ac:dyDescent="0.25">
      <c r="A30" s="110"/>
      <c r="B30" s="104"/>
      <c r="C30" s="104"/>
      <c r="D30" s="104"/>
      <c r="E30" s="104"/>
      <c r="F30" s="104"/>
      <c r="G30" s="104"/>
      <c r="H30" s="104"/>
      <c r="I30" s="104"/>
      <c r="J30" s="27"/>
    </row>
    <row r="31" spans="1:25" ht="15" customHeight="1" x14ac:dyDescent="0.25">
      <c r="A31" s="110"/>
      <c r="B31" s="104"/>
      <c r="C31" s="104"/>
      <c r="D31" s="104"/>
      <c r="E31" s="104"/>
      <c r="F31" s="104"/>
      <c r="G31" s="104"/>
      <c r="H31" s="104"/>
      <c r="I31" s="104"/>
      <c r="J31" s="27"/>
      <c r="Q31" s="33"/>
      <c r="R31" s="34"/>
      <c r="S31" s="35"/>
      <c r="T31" s="35"/>
      <c r="U31" s="35"/>
      <c r="V31" s="35"/>
      <c r="W31" s="35"/>
      <c r="X31" s="35"/>
      <c r="Y31" s="35"/>
    </row>
    <row r="32" spans="1:25" ht="15" customHeight="1" x14ac:dyDescent="0.25">
      <c r="A32" s="110">
        <v>0.74</v>
      </c>
      <c r="B32" s="104" t="s">
        <v>348</v>
      </c>
      <c r="C32" s="104"/>
      <c r="D32" s="104"/>
      <c r="E32" s="104"/>
      <c r="F32" s="104"/>
      <c r="G32" s="104"/>
      <c r="H32" s="104"/>
      <c r="I32" s="104"/>
      <c r="J32" s="27"/>
      <c r="Q32" s="33"/>
      <c r="R32" s="34"/>
      <c r="S32" s="35"/>
      <c r="T32" s="35"/>
      <c r="U32" s="35"/>
      <c r="V32" s="35"/>
      <c r="W32" s="35"/>
      <c r="X32" s="35"/>
      <c r="Y32" s="35"/>
    </row>
    <row r="33" spans="1:25" ht="15" customHeight="1" x14ac:dyDescent="0.25">
      <c r="A33" s="110"/>
      <c r="B33" s="104"/>
      <c r="C33" s="104"/>
      <c r="D33" s="104"/>
      <c r="E33" s="104"/>
      <c r="F33" s="104"/>
      <c r="G33" s="104"/>
      <c r="H33" s="104"/>
      <c r="I33" s="104"/>
      <c r="J33" s="27"/>
      <c r="Q33" s="36"/>
      <c r="R33" s="35"/>
      <c r="S33" s="35"/>
      <c r="T33" s="35"/>
      <c r="U33" s="35"/>
      <c r="V33" s="35"/>
      <c r="W33" s="35"/>
      <c r="X33" s="35"/>
      <c r="Y33" s="35"/>
    </row>
    <row r="34" spans="1:25" ht="15" customHeight="1" x14ac:dyDescent="0.25">
      <c r="A34" s="110"/>
      <c r="B34" s="104"/>
      <c r="C34" s="104"/>
      <c r="D34" s="104"/>
      <c r="E34" s="104"/>
      <c r="F34" s="104"/>
      <c r="G34" s="104"/>
      <c r="H34" s="104"/>
      <c r="I34" s="104"/>
      <c r="J34" s="27"/>
      <c r="Q34" s="36"/>
      <c r="R34" s="35"/>
      <c r="S34" s="35"/>
      <c r="T34" s="35"/>
      <c r="U34" s="35"/>
      <c r="V34" s="35"/>
      <c r="W34" s="35"/>
      <c r="X34" s="35"/>
      <c r="Y34" s="35"/>
    </row>
    <row r="35" spans="1:25" ht="15" customHeight="1" x14ac:dyDescent="0.25">
      <c r="A35" s="110"/>
      <c r="B35" s="104"/>
      <c r="C35" s="104"/>
      <c r="D35" s="104"/>
      <c r="E35" s="104"/>
      <c r="F35" s="104"/>
      <c r="G35" s="104"/>
      <c r="H35" s="104"/>
      <c r="I35" s="104"/>
      <c r="J35" s="27"/>
      <c r="S35" s="35"/>
      <c r="T35" s="35"/>
      <c r="U35" s="35"/>
      <c r="V35" s="35"/>
      <c r="W35" s="35"/>
      <c r="X35" s="35"/>
      <c r="Y35" s="35"/>
    </row>
    <row r="36" spans="1:25" ht="15" customHeight="1" x14ac:dyDescent="0.25">
      <c r="J36" s="27"/>
      <c r="Q36" s="36"/>
      <c r="R36" s="35"/>
      <c r="S36" s="35"/>
      <c r="T36" s="35"/>
      <c r="U36" s="35"/>
      <c r="V36" s="35"/>
      <c r="W36" s="35"/>
      <c r="X36" s="35"/>
      <c r="Y36" s="35"/>
    </row>
    <row r="37" spans="1:25" ht="15" customHeight="1" x14ac:dyDescent="0.25">
      <c r="J37" s="27"/>
      <c r="Q37" s="36"/>
      <c r="R37" s="35"/>
      <c r="S37" s="35"/>
      <c r="T37" s="35"/>
      <c r="U37" s="35"/>
      <c r="V37" s="35"/>
      <c r="W37" s="35"/>
      <c r="X37" s="35"/>
      <c r="Y37" s="35"/>
    </row>
    <row r="38" spans="1:25" ht="15" customHeight="1" x14ac:dyDescent="0.25">
      <c r="J38" s="27"/>
      <c r="Q38" s="36"/>
      <c r="R38" s="35"/>
      <c r="S38" s="35"/>
      <c r="T38" s="35"/>
      <c r="U38" s="35"/>
      <c r="V38" s="35"/>
      <c r="W38" s="35"/>
      <c r="X38" s="35"/>
      <c r="Y38" s="35"/>
    </row>
    <row r="39" spans="1:25" x14ac:dyDescent="0.25">
      <c r="J39" s="27"/>
    </row>
    <row r="40" spans="1:25" x14ac:dyDescent="0.25">
      <c r="J40" s="27"/>
    </row>
    <row r="41" spans="1:25" x14ac:dyDescent="0.25">
      <c r="J41" s="27"/>
    </row>
    <row r="42" spans="1:25" x14ac:dyDescent="0.25">
      <c r="J42" s="27"/>
    </row>
  </sheetData>
  <sheetProtection sheet="1" selectLockedCells="1"/>
  <mergeCells count="24">
    <mergeCell ref="A4:I4"/>
    <mergeCell ref="A5:D5"/>
    <mergeCell ref="B6:C6"/>
    <mergeCell ref="B7:C7"/>
    <mergeCell ref="H1:I1"/>
    <mergeCell ref="F5:I5"/>
    <mergeCell ref="A2:I3"/>
    <mergeCell ref="F6:G6"/>
    <mergeCell ref="H6:I6"/>
    <mergeCell ref="H7:I7"/>
    <mergeCell ref="F7:G7"/>
    <mergeCell ref="B32:I35"/>
    <mergeCell ref="B28:I31"/>
    <mergeCell ref="A17:I26"/>
    <mergeCell ref="B8:C8"/>
    <mergeCell ref="A15:I15"/>
    <mergeCell ref="A28:A31"/>
    <mergeCell ref="A32:A35"/>
    <mergeCell ref="F11:I11"/>
    <mergeCell ref="F8:G8"/>
    <mergeCell ref="A12:D12"/>
    <mergeCell ref="A11:D11"/>
    <mergeCell ref="A13:B13"/>
    <mergeCell ref="F12:I13"/>
  </mergeCells>
  <conditionalFormatting sqref="A32:B32 A28:B28">
    <cfRule type="iconSet" priority="2">
      <iconSet iconSet="3TrafficLights2" showValue="0">
        <cfvo type="percent" val="0"/>
        <cfvo type="percentile" val="33"/>
        <cfvo type="percentile" val="67"/>
      </iconSet>
    </cfRule>
  </conditionalFormatting>
  <conditionalFormatting sqref="Q31:R32">
    <cfRule type="iconSet" priority="1">
      <iconSet iconSet="3TrafficLights2" showValue="0">
        <cfvo type="percent" val="0"/>
        <cfvo type="percentile" val="33"/>
        <cfvo type="percentile" val="67"/>
      </iconSet>
    </cfRule>
  </conditionalFormatting>
  <dataValidations count="1">
    <dataValidation type="list" allowBlank="1" showInputMessage="1" showErrorMessage="1" sqref="A12" xr:uid="{78E42142-E85A-4390-9C2B-B4E099C9CC80}">
      <formula1>$S$2:$S$12</formula1>
    </dataValidation>
  </dataValidations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E2A674D-CCCE-4D33-86D2-545F04E3DB6F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TrafficLights2" iconId="2"/>
              <x14:cfIcon iconSet="3TrafficLights2" iconId="0"/>
            </x14:iconSet>
          </x14:cfRule>
          <xm:sqref>A17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99A70A7-41A5-4E6C-89AE-860D881DEFC4}">
          <x14:formula1>
            <xm:f>'Buiten Zoekblad'!$K$9:$K$13</xm:f>
          </x14:formula1>
          <xm:sqref>B8</xm:sqref>
        </x14:dataValidation>
        <x14:dataValidation type="list" allowBlank="1" showInputMessage="1" showErrorMessage="1" xr:uid="{48D7B6F4-9DFA-4CB2-9971-DE5689C4C5EB}">
          <x14:formula1>
            <xm:f>'Buiten Zoekblad'!$K$20:$K$23</xm:f>
          </x14:formula1>
          <xm:sqref>B7</xm:sqref>
        </x14:dataValidation>
        <x14:dataValidation type="list" allowBlank="1" showInputMessage="1" showErrorMessage="1" xr:uid="{A1D12ABC-BFA5-4D46-ABF5-CB02BA22AEBC}">
          <x14:formula1>
            <xm:f>'Buiten Zoekblad'!$K$5:$K$7</xm:f>
          </x14:formula1>
          <xm:sqref>B6</xm:sqref>
        </x14:dataValidation>
        <x14:dataValidation type="list" allowBlank="1" showInputMessage="1" showErrorMessage="1" xr:uid="{992D872B-71D5-405D-98E8-609D2515BD22}">
          <x14:formula1>
            <xm:f>'Buiten Zoekblad'!$K$15:$K$18</xm:f>
          </x14:formula1>
          <xm:sqref>H7:I7</xm:sqref>
        </x14:dataValidation>
        <x14:dataValidation type="list" allowBlank="1" showInputMessage="1" showErrorMessage="1" xr:uid="{CD8AE077-9391-4045-8674-B0097F9D3A3E}">
          <x14:formula1>
            <xm:f>Gegevens!$A$14:$A$77</xm:f>
          </x14:formula1>
          <xm:sqref>H6:H7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F935-6833-47A6-8039-C9EA251A2994}">
  <sheetPr>
    <tabColor rgb="FF325928"/>
    <pageSetUpPr fitToPage="1"/>
  </sheetPr>
  <dimension ref="A1:AK69"/>
  <sheetViews>
    <sheetView tabSelected="1" view="pageBreakPreview" zoomScale="85" zoomScaleNormal="85" zoomScaleSheetLayoutView="85" workbookViewId="0">
      <selection activeCell="C10" sqref="C10:D10"/>
    </sheetView>
  </sheetViews>
  <sheetFormatPr defaultRowHeight="15" x14ac:dyDescent="0.25"/>
  <cols>
    <col min="1" max="1" width="15.28515625" customWidth="1"/>
    <col min="2" max="2" width="11" bestFit="1" customWidth="1"/>
    <col min="3" max="3" width="12" bestFit="1" customWidth="1"/>
    <col min="4" max="4" width="7.7109375" bestFit="1" customWidth="1"/>
    <col min="5" max="5" width="9.28515625" bestFit="1" customWidth="1"/>
    <col min="6" max="6" width="9.7109375" customWidth="1"/>
    <col min="7" max="7" width="3.140625" bestFit="1" customWidth="1"/>
    <col min="8" max="8" width="9.7109375" customWidth="1"/>
    <col min="9" max="9" width="6.140625" customWidth="1"/>
    <col min="13" max="14" width="10.42578125" customWidth="1"/>
    <col min="15" max="16" width="9.140625" customWidth="1"/>
    <col min="18" max="18" width="10.85546875" bestFit="1" customWidth="1"/>
    <col min="20" max="20" width="10.5703125" bestFit="1" customWidth="1"/>
  </cols>
  <sheetData>
    <row r="1" spans="1:37" ht="15.75" thickBot="1" x14ac:dyDescent="0.3">
      <c r="A1" s="40" t="s">
        <v>156</v>
      </c>
      <c r="B1" s="41" t="str">
        <f>VLOOKUP(MAX('&lt;Wijzigingsblad&gt;'!A2:A33),'&lt;Wijzigingsblad&gt;'!A2:D33,2,FALSE)</f>
        <v>0.6</v>
      </c>
      <c r="C1" s="41"/>
      <c r="D1" s="41"/>
      <c r="E1" s="41"/>
      <c r="F1" s="164" t="s">
        <v>155</v>
      </c>
      <c r="G1" s="164"/>
      <c r="H1" s="168">
        <f ca="1">TODAY()</f>
        <v>45307</v>
      </c>
      <c r="I1" s="169"/>
    </row>
    <row r="2" spans="1:37" x14ac:dyDescent="0.25">
      <c r="A2" s="176" t="s">
        <v>349</v>
      </c>
      <c r="B2" s="177"/>
      <c r="C2" s="177"/>
      <c r="D2" s="177"/>
      <c r="E2" s="177"/>
      <c r="F2" s="177"/>
      <c r="G2" s="177"/>
      <c r="H2" s="177"/>
      <c r="I2" s="178"/>
    </row>
    <row r="3" spans="1:37" ht="15.75" thickBot="1" x14ac:dyDescent="0.3">
      <c r="A3" s="179"/>
      <c r="B3" s="180"/>
      <c r="C3" s="180"/>
      <c r="D3" s="180"/>
      <c r="E3" s="180"/>
      <c r="F3" s="180"/>
      <c r="G3" s="180"/>
      <c r="H3" s="180"/>
      <c r="I3" s="181"/>
    </row>
    <row r="4" spans="1:37" ht="19.5" thickBot="1" x14ac:dyDescent="0.3">
      <c r="A4" s="182" t="s">
        <v>374</v>
      </c>
      <c r="B4" s="183"/>
      <c r="C4" s="183"/>
      <c r="D4" s="183"/>
      <c r="E4" s="183"/>
      <c r="F4" s="183"/>
      <c r="G4" s="183"/>
      <c r="H4" s="183"/>
      <c r="I4" s="184"/>
      <c r="J4" s="27"/>
      <c r="K4" s="27"/>
      <c r="L4" s="27"/>
      <c r="M4" s="27"/>
      <c r="N4" s="27"/>
      <c r="O4" s="196" t="s">
        <v>140</v>
      </c>
      <c r="P4" s="196"/>
      <c r="Q4" s="196"/>
      <c r="R4" s="27" t="s">
        <v>133</v>
      </c>
      <c r="S4" s="27" t="s">
        <v>132</v>
      </c>
      <c r="T4" s="27" t="s">
        <v>186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8.75" customHeight="1" x14ac:dyDescent="0.25">
      <c r="A5" s="37" t="str">
        <f>'Invoerblad Uit Ontwerp'!B6</f>
        <v>CC1</v>
      </c>
      <c r="B5" s="135">
        <f>M28</f>
        <v>0.60000000000000009</v>
      </c>
      <c r="C5" s="135"/>
      <c r="D5" s="42">
        <v>1</v>
      </c>
      <c r="E5" s="139" t="str">
        <f>"Circulaire oplossing middels TCS versie: "&amp;B1</f>
        <v>Circulaire oplossing middels TCS versie: 0.6</v>
      </c>
      <c r="F5" s="139"/>
      <c r="G5" s="139"/>
      <c r="H5" s="139"/>
      <c r="I5" s="140"/>
      <c r="J5" s="27"/>
      <c r="K5" s="27" t="s">
        <v>137</v>
      </c>
      <c r="L5" s="27">
        <v>1</v>
      </c>
      <c r="M5" s="27"/>
      <c r="N5" s="27"/>
      <c r="O5" s="27" t="s">
        <v>176</v>
      </c>
      <c r="P5" s="27"/>
      <c r="Q5" s="27"/>
      <c r="R5" s="27">
        <v>235</v>
      </c>
      <c r="S5" s="27">
        <v>340</v>
      </c>
      <c r="T5" s="43">
        <v>1.1000000000000001</v>
      </c>
      <c r="U5" s="27"/>
      <c r="V5" s="27"/>
      <c r="W5" s="44" t="s">
        <v>219</v>
      </c>
      <c r="X5" s="44" t="s">
        <v>28</v>
      </c>
      <c r="Y5" s="44" t="s">
        <v>4</v>
      </c>
      <c r="Z5" s="27"/>
      <c r="AA5" s="44" t="s">
        <v>220</v>
      </c>
      <c r="AB5" s="44" t="s">
        <v>221</v>
      </c>
      <c r="AC5" s="27"/>
      <c r="AD5" s="27" t="s">
        <v>227</v>
      </c>
      <c r="AE5" s="27" t="str">
        <f>P16&amp;P17</f>
        <v>260260</v>
      </c>
      <c r="AF5" s="27"/>
      <c r="AG5" s="27"/>
      <c r="AH5" s="27"/>
      <c r="AI5" s="27"/>
      <c r="AJ5" s="27"/>
      <c r="AK5" s="27"/>
    </row>
    <row r="6" spans="1:37" ht="15.75" customHeight="1" x14ac:dyDescent="0.25">
      <c r="A6" s="38" t="str">
        <f>'Invoerblad Uit Ontwerp'!B8</f>
        <v>50 jaar</v>
      </c>
      <c r="B6" s="135"/>
      <c r="C6" s="135"/>
      <c r="D6" s="42">
        <v>0.74</v>
      </c>
      <c r="E6" s="141" t="s">
        <v>370</v>
      </c>
      <c r="F6" s="141"/>
      <c r="G6" s="141"/>
      <c r="H6" s="141"/>
      <c r="I6" s="142"/>
      <c r="J6" s="27"/>
      <c r="K6" s="27" t="s">
        <v>138</v>
      </c>
      <c r="L6" s="27">
        <v>3</v>
      </c>
      <c r="M6" s="27"/>
      <c r="N6" s="27"/>
      <c r="O6" s="27" t="s">
        <v>104</v>
      </c>
      <c r="P6" s="27" t="s">
        <v>178</v>
      </c>
      <c r="Q6" s="45" t="s">
        <v>182</v>
      </c>
      <c r="R6" s="27">
        <v>235</v>
      </c>
      <c r="S6" s="27">
        <v>340</v>
      </c>
      <c r="T6" s="27">
        <v>1</v>
      </c>
      <c r="U6" s="27"/>
      <c r="V6" s="27"/>
      <c r="W6" s="46" t="s">
        <v>238</v>
      </c>
      <c r="X6" s="46">
        <v>72760</v>
      </c>
      <c r="Y6" s="46" t="s">
        <v>32</v>
      </c>
      <c r="Z6" s="27"/>
      <c r="AA6" s="47">
        <v>96</v>
      </c>
      <c r="AB6" s="46">
        <v>100</v>
      </c>
      <c r="AC6" s="27"/>
      <c r="AD6" s="27"/>
      <c r="AE6" s="27" t="str">
        <f>VLOOKUP($AE$5,$W$6:$Y$69,3,FALSE)</f>
        <v>HEB 260</v>
      </c>
      <c r="AF6" s="27"/>
      <c r="AG6" s="27"/>
      <c r="AH6" s="27"/>
      <c r="AI6" s="27"/>
      <c r="AJ6" s="27"/>
      <c r="AK6" s="27"/>
    </row>
    <row r="7" spans="1:37" ht="15.75" x14ac:dyDescent="0.25">
      <c r="A7" s="38" t="str">
        <f>'Invoerblad Uit Ontwerp'!B7</f>
        <v>EXC1</v>
      </c>
      <c r="B7" s="135"/>
      <c r="C7" s="135"/>
      <c r="E7" s="48"/>
      <c r="I7" s="49"/>
      <c r="J7" s="27"/>
      <c r="K7" s="27" t="s">
        <v>139</v>
      </c>
      <c r="L7" s="27">
        <v>5</v>
      </c>
      <c r="M7" s="27"/>
      <c r="N7" s="27"/>
      <c r="O7" s="27" t="s">
        <v>131</v>
      </c>
      <c r="P7" s="27" t="s">
        <v>179</v>
      </c>
      <c r="Q7" s="45" t="s">
        <v>183</v>
      </c>
      <c r="R7" s="27">
        <v>275</v>
      </c>
      <c r="S7" s="27">
        <v>410</v>
      </c>
      <c r="T7" s="27">
        <v>1</v>
      </c>
      <c r="U7" s="27"/>
      <c r="V7" s="27"/>
      <c r="W7" s="50" t="s">
        <v>239</v>
      </c>
      <c r="X7" s="50">
        <v>106300</v>
      </c>
      <c r="Y7" s="50" t="s">
        <v>33</v>
      </c>
      <c r="Z7" s="27"/>
      <c r="AA7" s="51">
        <v>114</v>
      </c>
      <c r="AB7" s="46">
        <v>106</v>
      </c>
      <c r="AC7" s="27"/>
      <c r="AD7" s="27">
        <v>2</v>
      </c>
      <c r="AE7" s="27">
        <f>VLOOKUP($AE$6,Tabel1[],AD7,FALSE)</f>
        <v>260</v>
      </c>
      <c r="AF7" s="27" t="s">
        <v>122</v>
      </c>
      <c r="AG7" s="27"/>
      <c r="AH7" s="27"/>
      <c r="AI7" s="27"/>
      <c r="AJ7" s="27"/>
      <c r="AK7" s="27"/>
    </row>
    <row r="8" spans="1:37" ht="3.75" customHeight="1" thickBot="1" x14ac:dyDescent="0.3">
      <c r="A8" s="52"/>
      <c r="D8" s="48"/>
      <c r="E8" s="48"/>
      <c r="I8" s="49"/>
      <c r="J8" s="27"/>
      <c r="K8" s="27"/>
      <c r="L8" s="28" t="s">
        <v>331</v>
      </c>
      <c r="M8" s="27">
        <f>VLOOKUP(A5,K5:L7,2,FALSE)</f>
        <v>1</v>
      </c>
      <c r="N8" s="27"/>
      <c r="O8" s="27" t="s">
        <v>105</v>
      </c>
      <c r="P8" s="27" t="s">
        <v>180</v>
      </c>
      <c r="Q8" s="45" t="s">
        <v>184</v>
      </c>
      <c r="R8" s="27">
        <v>355</v>
      </c>
      <c r="S8" s="27">
        <v>480</v>
      </c>
      <c r="T8" s="27">
        <v>1</v>
      </c>
      <c r="U8" s="27"/>
      <c r="V8" s="27"/>
      <c r="W8" s="46" t="s">
        <v>240</v>
      </c>
      <c r="X8" s="46">
        <v>144100</v>
      </c>
      <c r="Y8" s="46" t="s">
        <v>49</v>
      </c>
      <c r="Z8" s="27"/>
      <c r="AA8" s="47">
        <v>120</v>
      </c>
      <c r="AB8" s="51">
        <v>120</v>
      </c>
      <c r="AC8" s="27"/>
      <c r="AD8" s="27">
        <v>3</v>
      </c>
      <c r="AE8" s="27">
        <f>VLOOKUP($AE$6,Tabel1[],AD8,FALSE)</f>
        <v>260</v>
      </c>
      <c r="AF8" s="27" t="s">
        <v>122</v>
      </c>
      <c r="AG8" s="27"/>
      <c r="AH8" s="27"/>
      <c r="AI8" s="27"/>
      <c r="AJ8" s="27"/>
      <c r="AK8" s="27"/>
    </row>
    <row r="9" spans="1:37" ht="16.5" thickBot="1" x14ac:dyDescent="0.3">
      <c r="A9" s="136" t="s">
        <v>369</v>
      </c>
      <c r="B9" s="137"/>
      <c r="C9" s="137"/>
      <c r="D9" s="137"/>
      <c r="E9" s="137"/>
      <c r="F9" s="137"/>
      <c r="G9" s="137"/>
      <c r="H9" s="137"/>
      <c r="I9" s="138"/>
      <c r="J9" s="27"/>
      <c r="K9" s="27" t="s">
        <v>325</v>
      </c>
      <c r="L9" s="27">
        <v>0.1</v>
      </c>
      <c r="M9" s="27"/>
      <c r="N9" s="27"/>
      <c r="O9" s="27"/>
      <c r="P9" s="27" t="s">
        <v>181</v>
      </c>
      <c r="Q9" s="27"/>
      <c r="R9" s="27"/>
      <c r="S9" s="27" t="str">
        <f>C28</f>
        <v>Onbekend</v>
      </c>
      <c r="T9" s="27">
        <f>VLOOKUP(S9,O5:T8,6,FALSE)</f>
        <v>1.1000000000000001</v>
      </c>
      <c r="U9" s="27"/>
      <c r="V9" s="27"/>
      <c r="W9" s="50" t="s">
        <v>241</v>
      </c>
      <c r="X9" s="50">
        <v>155400</v>
      </c>
      <c r="Y9" s="50" t="s">
        <v>34</v>
      </c>
      <c r="Z9" s="27"/>
      <c r="AA9" s="50">
        <v>133</v>
      </c>
      <c r="AB9" s="51">
        <v>126</v>
      </c>
      <c r="AC9" s="27"/>
      <c r="AD9" s="27">
        <v>4</v>
      </c>
      <c r="AE9" s="27">
        <f>VLOOKUP($AE$6,Tabel1[],AD9,FALSE)</f>
        <v>10</v>
      </c>
      <c r="AF9" s="27" t="s">
        <v>229</v>
      </c>
      <c r="AG9" s="27"/>
      <c r="AH9" s="27"/>
      <c r="AI9" s="27"/>
      <c r="AJ9" s="27"/>
      <c r="AK9" s="27"/>
    </row>
    <row r="10" spans="1:37" ht="15.75" x14ac:dyDescent="0.25">
      <c r="A10" s="150" t="s">
        <v>304</v>
      </c>
      <c r="B10" s="151"/>
      <c r="C10" s="191" t="str">
        <f>'Invoerblad Uit Ontwerp'!H6</f>
        <v>HEB 240</v>
      </c>
      <c r="D10" s="191"/>
      <c r="E10" s="166" t="s">
        <v>372</v>
      </c>
      <c r="F10" s="166"/>
      <c r="G10" s="166"/>
      <c r="H10" s="39">
        <v>50</v>
      </c>
      <c r="I10" s="55" t="s">
        <v>118</v>
      </c>
      <c r="J10" s="27"/>
      <c r="K10" s="27" t="s">
        <v>326</v>
      </c>
      <c r="L10" s="27">
        <v>0.2</v>
      </c>
      <c r="M10" s="27"/>
      <c r="N10" s="27"/>
      <c r="O10" s="27"/>
      <c r="P10" s="27"/>
      <c r="Q10" s="27"/>
      <c r="R10" s="27"/>
      <c r="S10" s="56" t="s">
        <v>152</v>
      </c>
      <c r="T10" s="27">
        <f>VLOOKUP($C$28,$O$5:$S$9,4,FALSE)</f>
        <v>235</v>
      </c>
      <c r="U10" s="27" t="s">
        <v>153</v>
      </c>
      <c r="V10" s="27"/>
      <c r="W10" s="46" t="s">
        <v>242</v>
      </c>
      <c r="X10" s="46">
        <v>190400</v>
      </c>
      <c r="Y10" s="46" t="s">
        <v>65</v>
      </c>
      <c r="Z10" s="27"/>
      <c r="AA10" s="51">
        <v>140</v>
      </c>
      <c r="AB10" s="51">
        <v>140</v>
      </c>
      <c r="AC10" s="27"/>
      <c r="AD10" s="27">
        <v>5</v>
      </c>
      <c r="AE10" s="27">
        <f>VLOOKUP($AE$6,Tabel1[],AD10,FALSE)</f>
        <v>17.5</v>
      </c>
      <c r="AF10" s="27" t="s">
        <v>230</v>
      </c>
      <c r="AG10" s="27"/>
      <c r="AH10" s="27"/>
      <c r="AI10" s="27"/>
      <c r="AJ10" s="27"/>
      <c r="AK10" s="27"/>
    </row>
    <row r="11" spans="1:37" ht="15.75" x14ac:dyDescent="0.25">
      <c r="A11" s="150" t="s">
        <v>373</v>
      </c>
      <c r="B11" s="151"/>
      <c r="C11" s="192" t="str">
        <f>'Invoerblad Uit Ontwerp'!H7</f>
        <v>S235</v>
      </c>
      <c r="D11" s="192"/>
      <c r="F11" s="166" t="s">
        <v>157</v>
      </c>
      <c r="G11" s="166"/>
      <c r="H11" s="25">
        <f>'Invoerblad Uit Ontwerp'!H8</f>
        <v>0.5</v>
      </c>
      <c r="I11" s="55" t="s">
        <v>311</v>
      </c>
      <c r="J11" s="31"/>
      <c r="K11" s="31" t="s">
        <v>327</v>
      </c>
      <c r="L11" s="31">
        <v>0.3</v>
      </c>
      <c r="M11" s="31"/>
      <c r="N11" s="31"/>
      <c r="O11" s="31"/>
      <c r="P11" s="31"/>
      <c r="Q11" s="31"/>
      <c r="R11" s="31"/>
      <c r="S11" s="31" t="s">
        <v>167</v>
      </c>
      <c r="T11" s="31">
        <f>'Buiten Zoekblad'!H10</f>
        <v>50</v>
      </c>
      <c r="U11" s="31"/>
      <c r="V11" s="31"/>
      <c r="W11" s="57" t="s">
        <v>243</v>
      </c>
      <c r="X11" s="57">
        <v>215600</v>
      </c>
      <c r="Y11" s="57" t="s">
        <v>50</v>
      </c>
      <c r="Z11" s="31"/>
      <c r="AA11" s="57">
        <v>152</v>
      </c>
      <c r="AB11" s="57">
        <v>146</v>
      </c>
      <c r="AC11" s="31"/>
      <c r="AD11" s="31">
        <v>6</v>
      </c>
      <c r="AE11" s="31">
        <f>VLOOKUP($AE$6,Tabel1[],AD11,FALSE)</f>
        <v>24</v>
      </c>
      <c r="AF11" s="31" t="s">
        <v>122</v>
      </c>
      <c r="AG11" s="31"/>
      <c r="AH11" s="31"/>
      <c r="AI11" s="31"/>
      <c r="AJ11" s="31"/>
      <c r="AK11" s="31"/>
    </row>
    <row r="12" spans="1:37" ht="15.75" x14ac:dyDescent="0.25">
      <c r="A12" s="190" t="s">
        <v>170</v>
      </c>
      <c r="B12" s="189" t="str">
        <f>'Invoerblad Uit Ontwerp'!F12</f>
        <v>Ligger, kolom, fundering, etc.</v>
      </c>
      <c r="C12" s="189"/>
      <c r="D12" s="189"/>
      <c r="E12" s="166" t="s">
        <v>316</v>
      </c>
      <c r="F12" s="166"/>
      <c r="G12" s="166"/>
      <c r="H12" s="25">
        <v>8</v>
      </c>
      <c r="I12" s="55" t="s">
        <v>142</v>
      </c>
      <c r="J12" s="31"/>
      <c r="K12" s="31" t="s">
        <v>328</v>
      </c>
      <c r="L12" s="31">
        <v>0.75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57" t="s">
        <v>244</v>
      </c>
      <c r="X12" s="57">
        <v>220100</v>
      </c>
      <c r="Y12" s="57" t="s">
        <v>35</v>
      </c>
      <c r="Z12" s="31"/>
      <c r="AA12" s="57">
        <v>160</v>
      </c>
      <c r="AB12" s="57">
        <v>160</v>
      </c>
      <c r="AC12" s="31"/>
      <c r="AD12" s="31">
        <v>7</v>
      </c>
      <c r="AE12" s="31">
        <f>VLOOKUP($AE$6,Tabel1[],AD12,FALSE)</f>
        <v>11840</v>
      </c>
      <c r="AF12" s="31" t="s">
        <v>121</v>
      </c>
      <c r="AG12" s="31"/>
      <c r="AH12" s="31"/>
      <c r="AI12" s="31"/>
      <c r="AJ12" s="31"/>
      <c r="AK12" s="31"/>
    </row>
    <row r="13" spans="1:37" ht="15.75" x14ac:dyDescent="0.25">
      <c r="A13" s="190"/>
      <c r="B13" s="189"/>
      <c r="C13" s="189"/>
      <c r="D13" s="189"/>
      <c r="E13" s="167" t="s">
        <v>313</v>
      </c>
      <c r="F13" s="167"/>
      <c r="G13" s="167"/>
      <c r="H13" s="24">
        <v>20</v>
      </c>
      <c r="I13" s="58" t="s">
        <v>311</v>
      </c>
      <c r="J13" s="31"/>
      <c r="K13" s="31" t="s">
        <v>329</v>
      </c>
      <c r="L13" s="31">
        <v>1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57" t="s">
        <v>245</v>
      </c>
      <c r="X13" s="57">
        <v>288200</v>
      </c>
      <c r="Y13" s="57" t="s">
        <v>66</v>
      </c>
      <c r="Z13" s="31"/>
      <c r="AA13" s="57">
        <v>171</v>
      </c>
      <c r="AB13" s="57">
        <v>166</v>
      </c>
      <c r="AC13" s="31"/>
      <c r="AD13" s="31">
        <v>8</v>
      </c>
      <c r="AE13" s="31">
        <f>VLOOKUP($AE$6,Tabel1[],AD13,FALSE)</f>
        <v>93</v>
      </c>
      <c r="AF13" s="31" t="s">
        <v>120</v>
      </c>
      <c r="AG13" s="31"/>
      <c r="AH13" s="31"/>
      <c r="AI13" s="31"/>
      <c r="AJ13" s="31"/>
      <c r="AK13" s="31"/>
    </row>
    <row r="14" spans="1:37" ht="6" customHeight="1" thickBot="1" x14ac:dyDescent="0.3">
      <c r="A14" s="59"/>
      <c r="B14" s="60"/>
      <c r="C14" s="60"/>
      <c r="D14" s="61"/>
      <c r="E14" s="61"/>
      <c r="F14" s="61"/>
      <c r="G14" s="61"/>
      <c r="H14" s="61"/>
      <c r="I14" s="62"/>
      <c r="J14" s="31"/>
      <c r="K14" s="31"/>
      <c r="L14" s="31"/>
      <c r="M14" s="31">
        <f>VLOOKUP(A6,K9:L13,2,FALSE)*M8</f>
        <v>0.3</v>
      </c>
      <c r="N14" s="31"/>
      <c r="V14" s="31"/>
      <c r="W14" s="57" t="s">
        <v>246</v>
      </c>
      <c r="X14" s="57">
        <v>293600</v>
      </c>
      <c r="Y14" s="57" t="s">
        <v>36</v>
      </c>
      <c r="Z14" s="31"/>
      <c r="AA14" s="57">
        <v>180</v>
      </c>
      <c r="AB14" s="57">
        <v>180</v>
      </c>
      <c r="AC14" s="31"/>
      <c r="AD14" s="31">
        <v>9</v>
      </c>
      <c r="AE14" s="31">
        <f>VLOOKUP($AE$6,Tabel1[],AD14,FALSE)</f>
        <v>225</v>
      </c>
      <c r="AF14" s="31" t="s">
        <v>122</v>
      </c>
      <c r="AG14" s="31"/>
      <c r="AH14" s="31"/>
      <c r="AI14" s="31"/>
      <c r="AJ14" s="31"/>
      <c r="AK14" s="31"/>
    </row>
    <row r="15" spans="1:37" ht="6" customHeight="1" thickBot="1" x14ac:dyDescent="0.3">
      <c r="A15" s="143"/>
      <c r="B15" s="144"/>
      <c r="C15" s="144"/>
      <c r="D15" s="144"/>
      <c r="E15" s="144"/>
      <c r="F15" s="144"/>
      <c r="G15" s="144"/>
      <c r="H15" s="144"/>
      <c r="I15" s="145"/>
      <c r="J15" s="31"/>
      <c r="K15" s="31" t="s">
        <v>104</v>
      </c>
      <c r="L15" s="31">
        <v>0.1</v>
      </c>
      <c r="M15" s="31"/>
      <c r="N15" s="31"/>
      <c r="V15" s="31"/>
      <c r="W15" s="57" t="s">
        <v>247</v>
      </c>
      <c r="X15" s="57">
        <v>311500</v>
      </c>
      <c r="Y15" s="57" t="s">
        <v>51</v>
      </c>
      <c r="Z15" s="31"/>
      <c r="AA15" s="57">
        <v>190</v>
      </c>
      <c r="AB15" s="57">
        <v>186</v>
      </c>
      <c r="AC15" s="31"/>
      <c r="AD15" s="31">
        <v>10</v>
      </c>
      <c r="AE15" s="31">
        <f>VLOOKUP($AE$6,Tabel1[],AD15,FALSE)</f>
        <v>177</v>
      </c>
      <c r="AF15" s="31" t="s">
        <v>122</v>
      </c>
      <c r="AG15" s="31"/>
      <c r="AH15" s="31"/>
      <c r="AI15" s="31"/>
      <c r="AJ15" s="31"/>
      <c r="AK15" s="31"/>
    </row>
    <row r="16" spans="1:37" ht="21.75" thickBot="1" x14ac:dyDescent="0.3">
      <c r="A16" s="146" t="s">
        <v>375</v>
      </c>
      <c r="B16" s="147"/>
      <c r="C16" s="147"/>
      <c r="D16" s="147"/>
      <c r="E16" s="147"/>
      <c r="F16" s="147"/>
      <c r="G16" s="147"/>
      <c r="H16" s="147"/>
      <c r="I16" s="148"/>
      <c r="J16" s="31"/>
      <c r="K16" s="31" t="s">
        <v>177</v>
      </c>
      <c r="L16" s="31">
        <v>0.2</v>
      </c>
      <c r="M16" s="31"/>
      <c r="N16" s="31"/>
      <c r="O16" s="63" t="s">
        <v>302</v>
      </c>
      <c r="P16" s="31">
        <f>_xlfn.XLOOKUP(B19,AA6:AA58,AA6:AA58,"onbekend",1,1)</f>
        <v>260</v>
      </c>
      <c r="Q16" s="63" t="s">
        <v>0</v>
      </c>
      <c r="R16" s="31">
        <f>AE9</f>
        <v>10</v>
      </c>
      <c r="S16" s="31">
        <f>B26</f>
        <v>7.5</v>
      </c>
      <c r="T16" s="31">
        <f>MIN(1,S16/AE9)</f>
        <v>0.75</v>
      </c>
      <c r="U16" s="31" t="s">
        <v>144</v>
      </c>
      <c r="V16" s="31"/>
      <c r="W16" s="65" t="s">
        <v>248</v>
      </c>
      <c r="X16" s="65">
        <v>388600</v>
      </c>
      <c r="Y16" s="65" t="s">
        <v>37</v>
      </c>
      <c r="Z16" s="31"/>
      <c r="AA16" s="65">
        <v>200</v>
      </c>
      <c r="AB16" s="65">
        <v>200</v>
      </c>
      <c r="AC16" s="31"/>
      <c r="AD16" s="31">
        <v>11</v>
      </c>
      <c r="AE16" s="31" t="str">
        <f>VLOOKUP($AE$6,Tabel1[],AD16,FALSE)</f>
        <v>M27</v>
      </c>
      <c r="AF16" s="31"/>
      <c r="AG16" s="31"/>
      <c r="AH16" s="31"/>
      <c r="AI16" s="31"/>
      <c r="AJ16" s="31"/>
      <c r="AK16" s="31"/>
    </row>
    <row r="17" spans="1:37" ht="16.5" thickBot="1" x14ac:dyDescent="0.3">
      <c r="A17" s="136" t="s">
        <v>233</v>
      </c>
      <c r="B17" s="137"/>
      <c r="C17" s="137"/>
      <c r="D17" s="137"/>
      <c r="E17" s="137"/>
      <c r="F17" s="137"/>
      <c r="G17" s="137"/>
      <c r="H17" s="137"/>
      <c r="I17" s="138"/>
      <c r="J17" s="31"/>
      <c r="K17" s="31" t="s">
        <v>105</v>
      </c>
      <c r="L17" s="31">
        <v>0.4</v>
      </c>
      <c r="M17" s="31"/>
      <c r="N17" s="31"/>
      <c r="O17" s="63" t="s">
        <v>303</v>
      </c>
      <c r="P17" s="31">
        <f>_xlfn.XLOOKUP(B21,AB6:AB31,AB6:AB31,"onbekend",1,1)</f>
        <v>260</v>
      </c>
      <c r="Q17" s="63" t="s">
        <v>1</v>
      </c>
      <c r="R17" s="31">
        <f>AE10</f>
        <v>17.5</v>
      </c>
      <c r="S17" s="31">
        <f>(B23+B24)/2</f>
        <v>14.5</v>
      </c>
      <c r="T17" s="31">
        <f>S17/AE10</f>
        <v>0.82857142857142863</v>
      </c>
      <c r="U17" s="31" t="s">
        <v>144</v>
      </c>
      <c r="V17" s="31"/>
      <c r="W17" s="57" t="s">
        <v>249</v>
      </c>
      <c r="X17" s="57">
        <v>411400</v>
      </c>
      <c r="Y17" s="57" t="s">
        <v>67</v>
      </c>
      <c r="Z17" s="31"/>
      <c r="AA17" s="57">
        <v>210</v>
      </c>
      <c r="AB17" s="57">
        <v>206</v>
      </c>
      <c r="AC17" s="31"/>
      <c r="AD17" s="31">
        <v>12</v>
      </c>
      <c r="AE17" s="31">
        <f>VLOOKUP($AE$6,Tabel1[],AD17,FALSE)</f>
        <v>114</v>
      </c>
      <c r="AF17" s="31" t="s">
        <v>122</v>
      </c>
      <c r="AG17" s="31"/>
      <c r="AH17" s="31"/>
      <c r="AI17" s="31"/>
      <c r="AJ17" s="31"/>
      <c r="AK17" s="31"/>
    </row>
    <row r="18" spans="1:37" ht="15.75" x14ac:dyDescent="0.25">
      <c r="A18" s="197" t="s">
        <v>220</v>
      </c>
      <c r="B18" s="198"/>
      <c r="C18" s="198"/>
      <c r="D18" s="199" t="s">
        <v>103</v>
      </c>
      <c r="E18" s="67" t="s">
        <v>224</v>
      </c>
      <c r="F18" s="68"/>
      <c r="G18" s="68"/>
      <c r="H18" s="68"/>
      <c r="I18" s="55"/>
      <c r="J18" s="27"/>
      <c r="K18" s="27" t="s">
        <v>317</v>
      </c>
      <c r="L18" s="27">
        <v>1</v>
      </c>
      <c r="M18" s="27"/>
      <c r="N18" s="27"/>
      <c r="O18" s="31"/>
      <c r="P18" s="31"/>
      <c r="Q18" s="31"/>
      <c r="R18" s="31"/>
      <c r="S18" s="31" t="s">
        <v>231</v>
      </c>
      <c r="T18" s="64">
        <f>SUM(T16:T17)/2</f>
        <v>0.78928571428571437</v>
      </c>
      <c r="U18" s="31" t="s">
        <v>144</v>
      </c>
      <c r="V18" s="27"/>
      <c r="W18" s="46" t="s">
        <v>250</v>
      </c>
      <c r="X18" s="46">
        <v>425700</v>
      </c>
      <c r="Y18" s="46" t="s">
        <v>52</v>
      </c>
      <c r="Z18" s="27"/>
      <c r="AA18" s="50">
        <v>220</v>
      </c>
      <c r="AB18" s="50">
        <v>220</v>
      </c>
      <c r="AC18" s="27"/>
      <c r="AD18" s="27">
        <v>13</v>
      </c>
      <c r="AE18" s="27">
        <f>VLOOKUP($AE$6,Tabel1[],AD18,FALSE)</f>
        <v>158</v>
      </c>
      <c r="AF18" s="27" t="s">
        <v>122</v>
      </c>
      <c r="AG18" s="27"/>
      <c r="AH18" s="27"/>
      <c r="AI18" s="27"/>
      <c r="AJ18" s="27"/>
      <c r="AK18" s="27"/>
    </row>
    <row r="19" spans="1:37" ht="15.75" x14ac:dyDescent="0.25">
      <c r="A19" s="53" t="s">
        <v>103</v>
      </c>
      <c r="B19" s="25">
        <v>260</v>
      </c>
      <c r="C19" s="48" t="s">
        <v>122</v>
      </c>
      <c r="D19" s="199"/>
      <c r="E19" s="69"/>
      <c r="F19" s="48"/>
      <c r="G19" s="68"/>
      <c r="H19" s="48"/>
      <c r="I19" s="55"/>
      <c r="J19" s="27"/>
      <c r="K19" s="27"/>
      <c r="L19" s="27"/>
      <c r="M19" s="27">
        <f>VLOOKUP(C11,K15:L18,2,FALSE)*M8</f>
        <v>0.1</v>
      </c>
      <c r="N19" s="27"/>
      <c r="O19" s="31"/>
      <c r="P19" s="31"/>
      <c r="Q19" s="31"/>
      <c r="R19" s="31"/>
      <c r="S19" s="31"/>
      <c r="T19" s="31"/>
      <c r="U19" s="31"/>
      <c r="V19" s="27"/>
      <c r="W19" s="50" t="s">
        <v>251</v>
      </c>
      <c r="X19" s="50">
        <v>515200.00000000006</v>
      </c>
      <c r="Y19" s="50" t="s">
        <v>38</v>
      </c>
      <c r="Z19" s="27"/>
      <c r="AA19" s="46">
        <v>230</v>
      </c>
      <c r="AB19" s="46">
        <v>226</v>
      </c>
      <c r="AC19" s="27"/>
      <c r="AD19" s="27">
        <v>14</v>
      </c>
      <c r="AE19" s="27">
        <f>VLOOKUP($AE$6,Tabel1[],AD19,FALSE)</f>
        <v>1499</v>
      </c>
      <c r="AF19" s="27" t="s">
        <v>185</v>
      </c>
      <c r="AG19" s="27"/>
      <c r="AH19" s="27"/>
      <c r="AI19" s="27"/>
      <c r="AJ19" s="27"/>
      <c r="AK19" s="27"/>
    </row>
    <row r="20" spans="1:37" ht="15.75" x14ac:dyDescent="0.25">
      <c r="A20" s="197" t="s">
        <v>221</v>
      </c>
      <c r="B20" s="198"/>
      <c r="C20" s="198"/>
      <c r="D20" s="199"/>
      <c r="E20" s="69"/>
      <c r="F20" s="48"/>
      <c r="G20" s="68"/>
      <c r="H20" s="48"/>
      <c r="I20" s="55"/>
      <c r="J20" s="27"/>
      <c r="K20" s="27" t="s">
        <v>318</v>
      </c>
      <c r="L20" s="27">
        <v>0</v>
      </c>
      <c r="M20" s="27"/>
      <c r="N20" s="27"/>
      <c r="O20" s="27"/>
      <c r="P20" s="27"/>
      <c r="Q20" s="27" t="s">
        <v>234</v>
      </c>
      <c r="R20" s="27">
        <f>'Invoerblad Uit Ontwerp'!C13</f>
        <v>0.6</v>
      </c>
      <c r="S20" s="27"/>
      <c r="T20" s="27"/>
      <c r="U20" s="27"/>
      <c r="V20" s="27"/>
      <c r="W20" s="46" t="s">
        <v>252</v>
      </c>
      <c r="X20" s="46">
        <v>566500</v>
      </c>
      <c r="Y20" s="46" t="s">
        <v>68</v>
      </c>
      <c r="Z20" s="27"/>
      <c r="AA20" s="46">
        <v>240</v>
      </c>
      <c r="AB20" s="46">
        <v>240</v>
      </c>
      <c r="AC20" s="27"/>
      <c r="AD20" s="27">
        <v>15</v>
      </c>
      <c r="AE20" s="27">
        <f>VLOOKUP($AE$6,Tabel1[],AD20,FALSE)</f>
        <v>149200000</v>
      </c>
      <c r="AF20" s="27" t="s">
        <v>228</v>
      </c>
      <c r="AG20" s="27"/>
      <c r="AH20" s="27"/>
      <c r="AI20" s="27"/>
      <c r="AJ20" s="27"/>
      <c r="AK20" s="27"/>
    </row>
    <row r="21" spans="1:37" ht="15.75" x14ac:dyDescent="0.25">
      <c r="A21" s="53" t="s">
        <v>222</v>
      </c>
      <c r="B21" s="25">
        <v>260</v>
      </c>
      <c r="C21" s="48" t="s">
        <v>122</v>
      </c>
      <c r="D21" s="199"/>
      <c r="E21" s="69"/>
      <c r="F21" s="48"/>
      <c r="G21" s="68"/>
      <c r="H21" s="48"/>
      <c r="I21" s="55"/>
      <c r="J21" s="27"/>
      <c r="K21" s="27" t="s">
        <v>321</v>
      </c>
      <c r="L21" s="27">
        <v>0.5</v>
      </c>
      <c r="M21" s="27"/>
      <c r="N21" s="27"/>
      <c r="O21" s="27"/>
      <c r="P21" s="27"/>
      <c r="Q21" s="27" t="s">
        <v>236</v>
      </c>
      <c r="R21" s="27">
        <f>'Invoerblad Uit Ontwerp'!C13</f>
        <v>0.6</v>
      </c>
      <c r="S21" s="27" t="s">
        <v>235</v>
      </c>
      <c r="T21" s="27"/>
      <c r="U21" s="27"/>
      <c r="V21" s="27"/>
      <c r="W21" s="50" t="s">
        <v>253</v>
      </c>
      <c r="X21" s="50">
        <v>569600</v>
      </c>
      <c r="Y21" s="50" t="s">
        <v>53</v>
      </c>
      <c r="Z21" s="27"/>
      <c r="AA21" s="50">
        <v>250</v>
      </c>
      <c r="AB21" s="46">
        <v>248</v>
      </c>
      <c r="AC21" s="27"/>
      <c r="AD21" s="27">
        <v>16</v>
      </c>
      <c r="AE21" s="27">
        <f>VLOOKUP($AE$6,Tabel1[],AD21,FALSE)</f>
        <v>1148000</v>
      </c>
      <c r="AF21" s="27" t="s">
        <v>151</v>
      </c>
      <c r="AG21" s="27"/>
      <c r="AH21" s="27"/>
      <c r="AI21" s="27"/>
      <c r="AJ21" s="27"/>
      <c r="AK21" s="27"/>
    </row>
    <row r="22" spans="1:37" ht="15.75" x14ac:dyDescent="0.25">
      <c r="A22" s="197" t="s">
        <v>223</v>
      </c>
      <c r="B22" s="198"/>
      <c r="C22" s="198"/>
      <c r="D22" s="199"/>
      <c r="E22" s="69"/>
      <c r="F22" s="48"/>
      <c r="G22" s="71" t="s">
        <v>0</v>
      </c>
      <c r="H22" s="48"/>
      <c r="I22" s="55"/>
      <c r="J22" s="27"/>
      <c r="K22" s="27" t="s">
        <v>320</v>
      </c>
      <c r="L22" s="27">
        <v>1</v>
      </c>
      <c r="M22" s="27"/>
      <c r="N22" s="27"/>
      <c r="O22" s="27"/>
      <c r="P22" s="27"/>
      <c r="Q22" s="27" t="str">
        <f>"twt"&amp;R20</f>
        <v>twt0,6</v>
      </c>
      <c r="R22" s="27">
        <f>S16-$R$21*2</f>
        <v>6.3</v>
      </c>
      <c r="S22" s="27" t="s">
        <v>122</v>
      </c>
      <c r="T22" s="70">
        <f>R22/AE10</f>
        <v>0.36</v>
      </c>
      <c r="U22" s="27" t="s">
        <v>144</v>
      </c>
      <c r="V22" s="27"/>
      <c r="W22" s="46" t="s">
        <v>254</v>
      </c>
      <c r="X22" s="46">
        <v>675100</v>
      </c>
      <c r="Y22" s="46" t="s">
        <v>39</v>
      </c>
      <c r="Z22" s="27"/>
      <c r="AA22" s="50">
        <v>260</v>
      </c>
      <c r="AB22" s="50">
        <v>260</v>
      </c>
      <c r="AC22" s="27"/>
      <c r="AD22" s="27">
        <v>17</v>
      </c>
      <c r="AE22" s="27">
        <f>VLOOKUP($AE$6,Tabel1[],AD22,FALSE)</f>
        <v>1283000</v>
      </c>
      <c r="AF22" s="27" t="s">
        <v>151</v>
      </c>
      <c r="AG22" s="27"/>
      <c r="AH22" s="27"/>
      <c r="AI22" s="27"/>
      <c r="AJ22" s="27"/>
      <c r="AK22" s="27"/>
    </row>
    <row r="23" spans="1:37" ht="15.75" x14ac:dyDescent="0.25">
      <c r="A23" s="53" t="s">
        <v>224</v>
      </c>
      <c r="B23" s="25">
        <v>15</v>
      </c>
      <c r="C23" s="48" t="s">
        <v>122</v>
      </c>
      <c r="D23" s="199"/>
      <c r="E23" s="69"/>
      <c r="F23" s="48"/>
      <c r="G23" s="68"/>
      <c r="H23" s="48"/>
      <c r="I23" s="55"/>
      <c r="J23" s="27"/>
      <c r="K23" s="27" t="s">
        <v>319</v>
      </c>
      <c r="L23" s="27">
        <v>1</v>
      </c>
      <c r="M23" s="27"/>
      <c r="N23" s="27"/>
      <c r="O23" s="27"/>
      <c r="P23" s="27"/>
      <c r="Q23" s="27" t="str">
        <f>"tft"&amp;R20</f>
        <v>tft0,6</v>
      </c>
      <c r="R23" s="27">
        <f>S17-R21*2</f>
        <v>13.3</v>
      </c>
      <c r="S23" s="27" t="s">
        <v>122</v>
      </c>
      <c r="T23" s="70">
        <f>R23/AE11</f>
        <v>0.5541666666666667</v>
      </c>
      <c r="U23" s="27" t="s">
        <v>144</v>
      </c>
      <c r="V23" s="27"/>
      <c r="W23" s="50" t="s">
        <v>255</v>
      </c>
      <c r="X23" s="50">
        <v>735500</v>
      </c>
      <c r="Y23" s="50" t="s">
        <v>54</v>
      </c>
      <c r="Z23" s="27"/>
      <c r="AA23" s="46">
        <v>270</v>
      </c>
      <c r="AB23" s="46">
        <v>268</v>
      </c>
      <c r="AC23" s="27"/>
      <c r="AD23" s="27">
        <v>18</v>
      </c>
      <c r="AE23" s="27">
        <f>VLOOKUP($AE$6,Tabel1[],AD23,FALSE)</f>
        <v>51350000</v>
      </c>
      <c r="AF23" s="27" t="s">
        <v>228</v>
      </c>
      <c r="AG23" s="27"/>
      <c r="AH23" s="27"/>
      <c r="AI23" s="27"/>
      <c r="AJ23" s="27"/>
      <c r="AK23" s="27"/>
    </row>
    <row r="24" spans="1:37" ht="15.75" x14ac:dyDescent="0.25">
      <c r="A24" s="53" t="s">
        <v>225</v>
      </c>
      <c r="B24" s="25">
        <v>14</v>
      </c>
      <c r="C24" s="48" t="s">
        <v>122</v>
      </c>
      <c r="D24" s="199"/>
      <c r="E24" s="69"/>
      <c r="F24" s="48"/>
      <c r="G24" s="68"/>
      <c r="H24" s="48"/>
      <c r="I24" s="55"/>
      <c r="J24" s="27"/>
      <c r="K24" s="27" t="s">
        <v>330</v>
      </c>
      <c r="L24" s="27"/>
      <c r="M24" s="27">
        <f>VLOOKUP(A7,K20:L23,2,FALSE)</f>
        <v>0</v>
      </c>
      <c r="N24" s="27"/>
      <c r="O24" s="27"/>
      <c r="P24" s="27"/>
      <c r="Q24" s="27"/>
      <c r="R24" s="27"/>
      <c r="S24" s="27" t="s">
        <v>231</v>
      </c>
      <c r="T24" s="72">
        <f>SUM(T22:T23)/2</f>
        <v>0.45708333333333334</v>
      </c>
      <c r="U24" s="27" t="s">
        <v>144</v>
      </c>
      <c r="V24" s="27"/>
      <c r="W24" s="46" t="s">
        <v>256</v>
      </c>
      <c r="X24" s="46">
        <v>748300</v>
      </c>
      <c r="Y24" s="46" t="s">
        <v>69</v>
      </c>
      <c r="Z24" s="27"/>
      <c r="AA24" s="46">
        <v>280</v>
      </c>
      <c r="AB24" s="46">
        <v>280</v>
      </c>
      <c r="AC24" s="27"/>
      <c r="AD24" s="27">
        <v>19</v>
      </c>
      <c r="AE24" s="27">
        <f>VLOOKUP($AE$6,Tabel1[],AD24,FALSE)</f>
        <v>395000</v>
      </c>
      <c r="AF24" s="27" t="s">
        <v>151</v>
      </c>
      <c r="AG24" s="27"/>
      <c r="AH24" s="27"/>
      <c r="AI24" s="27"/>
      <c r="AJ24" s="27"/>
      <c r="AK24" s="27"/>
    </row>
    <row r="25" spans="1:37" ht="15.75" x14ac:dyDescent="0.25">
      <c r="A25" s="197" t="s">
        <v>226</v>
      </c>
      <c r="B25" s="198"/>
      <c r="C25" s="198"/>
      <c r="D25" s="199"/>
      <c r="E25" s="73" t="s">
        <v>232</v>
      </c>
      <c r="F25" s="68"/>
      <c r="G25" s="68"/>
      <c r="H25" s="68"/>
      <c r="I25" s="55"/>
      <c r="J25" s="27"/>
      <c r="K25" s="27" t="s">
        <v>137</v>
      </c>
      <c r="L25" s="27">
        <v>0.75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0" t="s">
        <v>257</v>
      </c>
      <c r="X25" s="50">
        <v>836400</v>
      </c>
      <c r="Y25" s="50" t="s">
        <v>40</v>
      </c>
      <c r="Z25" s="27"/>
      <c r="AA25" s="50">
        <v>290</v>
      </c>
      <c r="AB25" s="50">
        <v>288</v>
      </c>
      <c r="AC25" s="27"/>
      <c r="AD25" s="27">
        <v>20</v>
      </c>
      <c r="AE25" s="27">
        <f>VLOOKUP($AE$6,Tabel1[],AD25,FALSE)</f>
        <v>602200</v>
      </c>
      <c r="AF25" s="27" t="s">
        <v>151</v>
      </c>
      <c r="AG25" s="27"/>
      <c r="AH25" s="27"/>
      <c r="AI25" s="27"/>
      <c r="AJ25" s="27"/>
      <c r="AK25" s="27"/>
    </row>
    <row r="26" spans="1:37" ht="15.75" x14ac:dyDescent="0.25">
      <c r="A26" s="53" t="s">
        <v>0</v>
      </c>
      <c r="B26" s="25">
        <v>7.5</v>
      </c>
      <c r="C26" s="48" t="s">
        <v>122</v>
      </c>
      <c r="D26" s="48"/>
      <c r="E26" s="48"/>
      <c r="F26" s="75"/>
      <c r="G26" s="76"/>
      <c r="H26" s="77"/>
      <c r="I26" s="55"/>
      <c r="J26" s="27"/>
      <c r="K26" s="27" t="s">
        <v>138</v>
      </c>
      <c r="L26" s="27">
        <v>0.6</v>
      </c>
      <c r="N26" s="27"/>
      <c r="O26" s="27"/>
      <c r="P26" s="27"/>
      <c r="Q26" s="27"/>
      <c r="R26" s="27"/>
      <c r="S26" s="27" t="s">
        <v>237</v>
      </c>
      <c r="T26" s="27">
        <f>AE21*T10/1000000</f>
        <v>269.77999999999997</v>
      </c>
      <c r="U26" s="27" t="s">
        <v>118</v>
      </c>
      <c r="V26" s="27"/>
      <c r="W26" s="46" t="s">
        <v>258</v>
      </c>
      <c r="X26" s="46">
        <v>938300</v>
      </c>
      <c r="Y26" s="46" t="s">
        <v>55</v>
      </c>
      <c r="Z26" s="27"/>
      <c r="AA26" s="50">
        <v>300</v>
      </c>
      <c r="AB26" s="50">
        <v>300</v>
      </c>
      <c r="AC26" s="27"/>
      <c r="AD26" s="27">
        <v>21</v>
      </c>
      <c r="AE26" s="27" t="str">
        <f>VLOOKUP($AE$6,Tabel1[],AD26,FALSE)</f>
        <v>H</v>
      </c>
      <c r="AF26" s="27"/>
      <c r="AG26" s="27"/>
      <c r="AH26" s="27"/>
      <c r="AI26" s="27"/>
      <c r="AJ26" s="27"/>
      <c r="AK26" s="27"/>
    </row>
    <row r="27" spans="1:37" ht="15.75" x14ac:dyDescent="0.25">
      <c r="A27" s="150" t="s">
        <v>314</v>
      </c>
      <c r="B27" s="151"/>
      <c r="C27" s="151" t="str">
        <f>AE6</f>
        <v>HEB 260</v>
      </c>
      <c r="D27" s="151"/>
      <c r="E27" s="48"/>
      <c r="F27" s="48"/>
      <c r="G27" s="48" t="s">
        <v>222</v>
      </c>
      <c r="H27" s="48"/>
      <c r="I27" s="55"/>
      <c r="J27" s="27"/>
      <c r="K27" s="27" t="s">
        <v>322</v>
      </c>
      <c r="L27" s="27">
        <f>IF(A5=K25,L25,L26)</f>
        <v>0.75</v>
      </c>
      <c r="M27" s="27">
        <f>IF(L27&gt;H11,0.2,1)</f>
        <v>0.2</v>
      </c>
      <c r="N27" s="27"/>
      <c r="O27" s="27"/>
      <c r="P27" s="27"/>
      <c r="Q27" s="27"/>
      <c r="R27" s="27"/>
      <c r="S27" s="27" t="str">
        <f>"Mrd"&amp;R20</f>
        <v>Mrd0,6</v>
      </c>
      <c r="T27" s="74">
        <f>T26*T24</f>
        <v>123.31194166666666</v>
      </c>
      <c r="U27" s="27" t="s">
        <v>118</v>
      </c>
      <c r="V27" s="27"/>
      <c r="W27" s="50" t="s">
        <v>259</v>
      </c>
      <c r="X27" s="50">
        <v>967400</v>
      </c>
      <c r="Y27" s="50" t="s">
        <v>70</v>
      </c>
      <c r="Z27" s="27"/>
      <c r="AA27" s="50">
        <v>310</v>
      </c>
      <c r="AB27" s="46">
        <v>306</v>
      </c>
      <c r="AC27" s="27"/>
      <c r="AD27" s="27"/>
      <c r="AE27" s="27"/>
      <c r="AF27" s="27"/>
      <c r="AG27" s="27"/>
      <c r="AH27" s="27"/>
      <c r="AI27" s="27"/>
      <c r="AJ27" s="27"/>
      <c r="AK27" s="27"/>
    </row>
    <row r="28" spans="1:37" ht="15.75" x14ac:dyDescent="0.25">
      <c r="A28" s="150" t="s">
        <v>135</v>
      </c>
      <c r="B28" s="151"/>
      <c r="C28" s="165" t="s">
        <v>176</v>
      </c>
      <c r="D28" s="165"/>
      <c r="E28" s="54" t="s">
        <v>358</v>
      </c>
      <c r="F28" s="54"/>
      <c r="G28" s="165">
        <v>9</v>
      </c>
      <c r="H28" s="165"/>
      <c r="I28" s="55" t="s">
        <v>142</v>
      </c>
      <c r="J28" s="27"/>
      <c r="K28" s="27"/>
      <c r="L28" s="27"/>
      <c r="M28" s="27">
        <f>SUM(M14:M27)</f>
        <v>0.60000000000000009</v>
      </c>
      <c r="N28" s="27"/>
      <c r="O28" s="27"/>
      <c r="Q28" s="27"/>
      <c r="R28" s="27"/>
      <c r="S28" s="27" t="str">
        <f>S27&amp;C29</f>
        <v>Mrd0,6Gaten lijf</v>
      </c>
      <c r="T28" s="74">
        <f>T27*P33/T9</f>
        <v>106.49667689393937</v>
      </c>
      <c r="U28" s="27" t="s">
        <v>118</v>
      </c>
      <c r="V28" s="27"/>
      <c r="W28" s="46" t="s">
        <v>260</v>
      </c>
      <c r="X28" s="46">
        <v>1013000</v>
      </c>
      <c r="Y28" s="46" t="s">
        <v>41</v>
      </c>
      <c r="Z28" s="27"/>
      <c r="AA28" s="46">
        <v>320</v>
      </c>
      <c r="AB28" s="46">
        <v>307</v>
      </c>
      <c r="AC28" s="27"/>
      <c r="AD28" s="27"/>
      <c r="AE28" s="27"/>
      <c r="AF28" s="27"/>
      <c r="AG28" s="27"/>
      <c r="AH28" s="27"/>
    </row>
    <row r="29" spans="1:37" ht="15.75" x14ac:dyDescent="0.25">
      <c r="A29" s="53" t="s">
        <v>333</v>
      </c>
      <c r="B29" s="48"/>
      <c r="C29" s="165" t="s">
        <v>334</v>
      </c>
      <c r="D29" s="165"/>
      <c r="E29" s="54" t="s">
        <v>359</v>
      </c>
      <c r="F29" s="54"/>
      <c r="G29" s="165">
        <v>20</v>
      </c>
      <c r="H29" s="165"/>
      <c r="I29" s="55" t="s">
        <v>311</v>
      </c>
      <c r="J29" s="27"/>
      <c r="O29" s="27"/>
      <c r="R29" s="27"/>
      <c r="S29" s="27" t="s">
        <v>157</v>
      </c>
      <c r="T29" s="78">
        <f>T11*T9/T28</f>
        <v>0.5164480395456359</v>
      </c>
      <c r="U29" s="27" t="str">
        <f>"&lt; "&amp;1</f>
        <v>&lt; 1</v>
      </c>
      <c r="V29" s="27"/>
      <c r="W29" s="50" t="s">
        <v>261</v>
      </c>
      <c r="X29" s="50">
        <v>1148000</v>
      </c>
      <c r="Y29" s="50" t="s">
        <v>56</v>
      </c>
      <c r="Z29" s="27"/>
      <c r="AA29" s="46">
        <v>330</v>
      </c>
      <c r="AB29" s="50">
        <v>308</v>
      </c>
      <c r="AC29" s="27"/>
      <c r="AD29" s="27"/>
      <c r="AE29" s="27"/>
      <c r="AF29" s="27"/>
      <c r="AG29" s="27"/>
      <c r="AH29" s="27"/>
    </row>
    <row r="30" spans="1:37" ht="5.25" customHeight="1" thickBot="1" x14ac:dyDescent="0.3">
      <c r="A30" s="53"/>
      <c r="B30" s="48"/>
      <c r="C30" s="48"/>
      <c r="D30" s="48"/>
      <c r="E30" s="48"/>
      <c r="F30" s="48"/>
      <c r="G30" s="48"/>
      <c r="H30" s="48"/>
      <c r="I30" s="55"/>
      <c r="J30" s="27"/>
      <c r="O30" s="27"/>
      <c r="P30" s="27"/>
      <c r="V30" s="27"/>
      <c r="W30" s="46" t="s">
        <v>262</v>
      </c>
      <c r="X30" s="46">
        <v>1217000</v>
      </c>
      <c r="Y30" s="46" t="s">
        <v>71</v>
      </c>
      <c r="Z30" s="27"/>
      <c r="AA30" s="50">
        <v>340</v>
      </c>
      <c r="AB30" s="46">
        <v>309</v>
      </c>
      <c r="AC30" s="27"/>
      <c r="AD30" s="27"/>
      <c r="AE30" s="27"/>
      <c r="AF30" s="27"/>
      <c r="AG30" s="27"/>
      <c r="AH30" s="27"/>
    </row>
    <row r="31" spans="1:37" ht="16.5" thickBot="1" x14ac:dyDescent="0.3">
      <c r="A31" s="136" t="s">
        <v>350</v>
      </c>
      <c r="B31" s="137"/>
      <c r="C31" s="137"/>
      <c r="D31" s="137"/>
      <c r="E31" s="137"/>
      <c r="F31" s="137"/>
      <c r="G31" s="137"/>
      <c r="H31" s="137"/>
      <c r="I31" s="138"/>
      <c r="J31" s="27"/>
      <c r="K31" s="27"/>
      <c r="L31" s="27"/>
      <c r="M31" s="27"/>
      <c r="N31" s="27"/>
      <c r="O31" s="27"/>
      <c r="P31" s="27"/>
      <c r="V31" s="27"/>
      <c r="W31" s="50" t="s">
        <v>263</v>
      </c>
      <c r="X31" s="50">
        <v>1260000</v>
      </c>
      <c r="Y31" s="50" t="s">
        <v>42</v>
      </c>
      <c r="Z31" s="27"/>
      <c r="AA31" s="50">
        <v>350</v>
      </c>
      <c r="AB31" s="46">
        <v>310</v>
      </c>
      <c r="AC31" s="27"/>
      <c r="AD31" s="27"/>
      <c r="AE31" s="27"/>
      <c r="AF31" s="27"/>
    </row>
    <row r="32" spans="1:37" x14ac:dyDescent="0.25">
      <c r="A32" s="152">
        <f>T29</f>
        <v>0.5164480395456359</v>
      </c>
      <c r="B32" s="153"/>
      <c r="C32" s="153"/>
      <c r="D32" s="187">
        <f>J33</f>
        <v>0.2</v>
      </c>
      <c r="E32" s="193" t="str">
        <f>"&lt; "&amp;J35&amp;" Toepasbaar"</f>
        <v>&lt; 0,85 Toepasbaar</v>
      </c>
      <c r="F32" s="194"/>
      <c r="G32" s="194"/>
      <c r="H32" s="194"/>
      <c r="I32" s="19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46" t="s">
        <v>264</v>
      </c>
      <c r="X32" s="46">
        <v>1376000</v>
      </c>
      <c r="Y32" s="46" t="s">
        <v>57</v>
      </c>
      <c r="Z32" s="27"/>
      <c r="AA32" s="50">
        <v>359</v>
      </c>
      <c r="AB32" s="27"/>
      <c r="AC32" s="27"/>
      <c r="AD32" s="27"/>
      <c r="AE32" s="27"/>
      <c r="AF32" s="27"/>
    </row>
    <row r="33" spans="1:37" ht="15.75" x14ac:dyDescent="0.25">
      <c r="A33" s="154"/>
      <c r="B33" s="155"/>
      <c r="C33" s="155"/>
      <c r="D33" s="188"/>
      <c r="E33" s="161"/>
      <c r="F33" s="162"/>
      <c r="G33" s="162"/>
      <c r="H33" s="162"/>
      <c r="I33" s="163"/>
      <c r="J33" s="79">
        <v>0.2</v>
      </c>
      <c r="K33" s="27"/>
      <c r="M33" t="s">
        <v>146</v>
      </c>
      <c r="O33" s="80" t="s">
        <v>338</v>
      </c>
      <c r="P33" s="81">
        <f>VLOOKUP(C29,M34:O38,3,FALSE)</f>
        <v>0.95</v>
      </c>
      <c r="R33" s="27"/>
      <c r="S33" s="27"/>
      <c r="T33" s="27"/>
      <c r="U33" s="27"/>
      <c r="V33" s="27"/>
      <c r="W33" s="50" t="s">
        <v>265</v>
      </c>
      <c r="X33" s="50">
        <v>1479000</v>
      </c>
      <c r="Y33" s="50" t="s">
        <v>43</v>
      </c>
      <c r="Z33" s="27"/>
      <c r="AA33" s="46">
        <v>360</v>
      </c>
      <c r="AB33" s="82"/>
      <c r="AC33" s="27"/>
      <c r="AD33" s="27"/>
      <c r="AE33" s="27"/>
      <c r="AF33" s="27"/>
    </row>
    <row r="34" spans="1:37" ht="15.75" x14ac:dyDescent="0.25">
      <c r="A34" s="154"/>
      <c r="B34" s="155"/>
      <c r="C34" s="155"/>
      <c r="D34" s="188">
        <f>J35</f>
        <v>0.85</v>
      </c>
      <c r="E34" s="158" t="str">
        <f>"&gt; "&amp;J35&amp;" Verder onderzoek aanbevolen"</f>
        <v>&gt; 0,85 Verder onderzoek aanbevolen</v>
      </c>
      <c r="F34" s="159"/>
      <c r="G34" s="159"/>
      <c r="H34" s="159"/>
      <c r="I34" s="160"/>
      <c r="J34" s="79"/>
      <c r="K34" s="27"/>
      <c r="M34" t="s">
        <v>337</v>
      </c>
      <c r="O34">
        <v>1</v>
      </c>
      <c r="R34" s="27"/>
      <c r="S34" s="27"/>
      <c r="T34" s="27"/>
      <c r="U34" s="27"/>
      <c r="V34" s="27"/>
      <c r="W34" s="46" t="s">
        <v>266</v>
      </c>
      <c r="X34" s="46">
        <v>1678000</v>
      </c>
      <c r="Y34" s="46" t="s">
        <v>44</v>
      </c>
      <c r="Z34" s="27"/>
      <c r="AA34" s="46">
        <v>377</v>
      </c>
      <c r="AB34" s="82"/>
      <c r="AC34" s="27"/>
      <c r="AD34" s="27"/>
      <c r="AE34" s="27"/>
      <c r="AF34" s="27"/>
    </row>
    <row r="35" spans="1:37" ht="15.75" x14ac:dyDescent="0.25">
      <c r="A35" s="154"/>
      <c r="B35" s="155"/>
      <c r="C35" s="155"/>
      <c r="D35" s="188"/>
      <c r="E35" s="161"/>
      <c r="F35" s="162"/>
      <c r="G35" s="162"/>
      <c r="H35" s="162"/>
      <c r="I35" s="163"/>
      <c r="J35" s="79">
        <v>0.85</v>
      </c>
      <c r="K35" s="17" t="s">
        <v>351</v>
      </c>
      <c r="M35" t="s">
        <v>334</v>
      </c>
      <c r="O35">
        <v>0.95</v>
      </c>
      <c r="R35" s="27"/>
      <c r="S35" s="27"/>
      <c r="T35" s="27"/>
      <c r="U35" s="27"/>
      <c r="V35" s="27"/>
      <c r="W35" s="50" t="s">
        <v>267</v>
      </c>
      <c r="X35" s="50">
        <v>1678000</v>
      </c>
      <c r="Y35" s="50" t="s">
        <v>58</v>
      </c>
      <c r="Z35" s="27"/>
      <c r="AA35" s="50">
        <v>390</v>
      </c>
      <c r="AB35" s="82"/>
      <c r="AC35" s="27"/>
      <c r="AD35" s="27"/>
      <c r="AE35" s="27"/>
      <c r="AF35" s="27"/>
      <c r="AG35" s="27"/>
      <c r="AH35" s="27"/>
    </row>
    <row r="36" spans="1:37" ht="15.75" x14ac:dyDescent="0.25">
      <c r="A36" s="154"/>
      <c r="B36" s="155"/>
      <c r="C36" s="155"/>
      <c r="D36" s="188">
        <f>J37</f>
        <v>1</v>
      </c>
      <c r="E36" s="158" t="s">
        <v>352</v>
      </c>
      <c r="F36" s="159"/>
      <c r="G36" s="159"/>
      <c r="H36" s="159"/>
      <c r="I36" s="160"/>
      <c r="J36" s="79"/>
      <c r="L36" s="27"/>
      <c r="M36" s="27" t="s">
        <v>335</v>
      </c>
      <c r="N36" s="27"/>
      <c r="O36" s="27">
        <v>0.9</v>
      </c>
      <c r="P36" s="27"/>
      <c r="Q36" s="27"/>
      <c r="R36" s="27"/>
      <c r="S36" s="27"/>
      <c r="T36" s="27"/>
      <c r="U36" s="27"/>
      <c r="V36" s="27"/>
      <c r="W36" s="46" t="s">
        <v>268</v>
      </c>
      <c r="X36" s="46">
        <v>1799000</v>
      </c>
      <c r="Y36" s="46" t="s">
        <v>72</v>
      </c>
      <c r="Z36" s="27"/>
      <c r="AA36" s="50">
        <v>395</v>
      </c>
      <c r="AB36" s="82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x14ac:dyDescent="0.25">
      <c r="A37" s="154"/>
      <c r="B37" s="155"/>
      <c r="C37" s="155"/>
      <c r="D37" s="188"/>
      <c r="E37" s="161"/>
      <c r="F37" s="162"/>
      <c r="G37" s="162"/>
      <c r="H37" s="162"/>
      <c r="I37" s="163"/>
      <c r="J37" s="175">
        <v>1</v>
      </c>
      <c r="K37" s="27"/>
      <c r="L37" s="27"/>
      <c r="M37" s="27" t="s">
        <v>336</v>
      </c>
      <c r="N37" s="27"/>
      <c r="O37" s="27">
        <v>0.8</v>
      </c>
      <c r="P37" s="27"/>
      <c r="Q37" s="27"/>
      <c r="R37" s="27"/>
      <c r="S37" s="27"/>
      <c r="T37" s="27"/>
      <c r="U37" s="27"/>
      <c r="V37" s="27"/>
      <c r="W37" s="50" t="s">
        <v>269</v>
      </c>
      <c r="X37" s="50">
        <v>1891000</v>
      </c>
      <c r="Y37" s="50" t="s">
        <v>45</v>
      </c>
      <c r="Z37" s="27"/>
      <c r="AA37" s="46">
        <v>400</v>
      </c>
      <c r="AB37" s="27"/>
      <c r="AC37" s="27"/>
      <c r="AD37" s="27"/>
      <c r="AE37" s="27"/>
      <c r="AF37" s="27"/>
      <c r="AG37" s="27"/>
      <c r="AH37" s="27"/>
    </row>
    <row r="38" spans="1:37" ht="15.75" x14ac:dyDescent="0.25">
      <c r="A38" s="154"/>
      <c r="B38" s="155"/>
      <c r="C38" s="155"/>
      <c r="D38" s="83" t="s">
        <v>339</v>
      </c>
      <c r="E38" s="84" t="s">
        <v>168</v>
      </c>
      <c r="F38" s="84">
        <f>T11</f>
        <v>50</v>
      </c>
      <c r="G38" s="156" t="s">
        <v>118</v>
      </c>
      <c r="H38" s="156"/>
      <c r="I38" s="85"/>
      <c r="J38" s="175"/>
      <c r="L38" s="27"/>
      <c r="M38" s="27" t="s">
        <v>147</v>
      </c>
      <c r="N38" s="27"/>
      <c r="O38" s="27">
        <v>0.75</v>
      </c>
      <c r="P38" s="27"/>
      <c r="Q38" s="27"/>
      <c r="R38" s="27"/>
      <c r="S38" s="27"/>
      <c r="T38" s="27"/>
      <c r="U38" s="27"/>
      <c r="V38" s="27"/>
      <c r="W38" s="46" t="s">
        <v>270</v>
      </c>
      <c r="X38" s="46">
        <v>1926000</v>
      </c>
      <c r="Y38" s="46" t="s">
        <v>59</v>
      </c>
      <c r="Z38" s="27"/>
      <c r="AA38" s="50">
        <v>432</v>
      </c>
      <c r="AB38" s="27"/>
      <c r="AC38" s="27"/>
      <c r="AD38" s="27"/>
      <c r="AE38" s="27"/>
      <c r="AF38" s="27"/>
      <c r="AG38" s="27"/>
      <c r="AH38" s="27"/>
    </row>
    <row r="39" spans="1:37" ht="15.75" x14ac:dyDescent="0.25">
      <c r="A39" s="154"/>
      <c r="B39" s="155"/>
      <c r="C39" s="155"/>
      <c r="D39" s="83" t="s">
        <v>332</v>
      </c>
      <c r="E39" s="84" t="s">
        <v>168</v>
      </c>
      <c r="F39" s="86">
        <f>T28</f>
        <v>106.49667689393937</v>
      </c>
      <c r="G39" s="157" t="s">
        <v>118</v>
      </c>
      <c r="H39" s="157"/>
      <c r="I39" s="85"/>
      <c r="K39" s="27"/>
      <c r="L39" s="27"/>
      <c r="M39" s="27"/>
      <c r="P39" s="27"/>
      <c r="Q39" s="27"/>
      <c r="R39" s="27"/>
      <c r="S39" s="27"/>
      <c r="T39" s="27"/>
      <c r="U39" s="27"/>
      <c r="V39" s="27"/>
      <c r="W39" s="50" t="s">
        <v>271</v>
      </c>
      <c r="X39" s="50">
        <v>2156000</v>
      </c>
      <c r="Y39" s="50" t="s">
        <v>60</v>
      </c>
      <c r="Z39" s="27"/>
      <c r="AA39" s="50">
        <v>440</v>
      </c>
      <c r="AB39" s="27"/>
      <c r="AC39" s="27"/>
      <c r="AD39" s="27"/>
      <c r="AE39" s="27"/>
      <c r="AF39" s="27"/>
      <c r="AG39" s="27"/>
      <c r="AH39" s="27"/>
    </row>
    <row r="40" spans="1:37" ht="15.75" x14ac:dyDescent="0.25">
      <c r="A40" s="87" t="s">
        <v>371</v>
      </c>
      <c r="B40" s="88">
        <f>T29</f>
        <v>0.5164480395456359</v>
      </c>
      <c r="C40" s="149" t="str">
        <f>IF(T29&lt;1,"voldoet en is toepasbaar","Niet toepasbaar")</f>
        <v>voldoet en is toepasbaar</v>
      </c>
      <c r="D40" s="149"/>
      <c r="E40" s="149"/>
      <c r="F40" s="66"/>
      <c r="G40" s="66"/>
      <c r="H40" s="66"/>
      <c r="I40" s="90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46" t="s">
        <v>272</v>
      </c>
      <c r="X40" s="46">
        <v>2159000</v>
      </c>
      <c r="Y40" s="46" t="s">
        <v>73</v>
      </c>
      <c r="Z40" s="27"/>
      <c r="AA40" s="46">
        <v>450</v>
      </c>
      <c r="AB40" s="27"/>
      <c r="AC40" s="27"/>
      <c r="AD40" s="27"/>
      <c r="AE40" s="27"/>
      <c r="AF40" s="27"/>
      <c r="AG40" s="27"/>
      <c r="AH40" s="27"/>
    </row>
    <row r="41" spans="1:37" ht="4.5" customHeight="1" thickBot="1" x14ac:dyDescent="0.3">
      <c r="A41" s="91"/>
      <c r="B41" s="92"/>
      <c r="C41" s="92"/>
      <c r="D41" s="92"/>
      <c r="E41" s="92"/>
      <c r="F41" s="92"/>
      <c r="G41" s="92"/>
      <c r="H41" s="92"/>
      <c r="I41" s="93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0" t="s">
        <v>273</v>
      </c>
      <c r="X41" s="50">
        <v>2311000</v>
      </c>
      <c r="Y41" s="50" t="s">
        <v>46</v>
      </c>
      <c r="Z41" s="27"/>
      <c r="AA41" s="46">
        <v>478</v>
      </c>
      <c r="AB41" s="27"/>
      <c r="AC41" s="27"/>
      <c r="AD41" s="27"/>
      <c r="AE41" s="27"/>
      <c r="AF41" s="27"/>
      <c r="AG41" s="27"/>
      <c r="AH41" s="27"/>
    </row>
    <row r="42" spans="1:37" ht="16.5" thickBot="1" x14ac:dyDescent="0.3">
      <c r="A42" s="136" t="s">
        <v>376</v>
      </c>
      <c r="B42" s="137"/>
      <c r="C42" s="137"/>
      <c r="D42" s="137"/>
      <c r="E42" s="137"/>
      <c r="F42" s="137"/>
      <c r="G42" s="137"/>
      <c r="H42" s="137"/>
      <c r="I42" s="138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46" t="s">
        <v>274</v>
      </c>
      <c r="X42" s="46">
        <v>2400000</v>
      </c>
      <c r="Y42" s="46" t="s">
        <v>61</v>
      </c>
      <c r="Z42" s="27"/>
      <c r="AA42" s="50">
        <v>490</v>
      </c>
      <c r="AB42" s="27"/>
      <c r="AC42" s="27"/>
      <c r="AD42" s="27"/>
      <c r="AE42" s="27"/>
      <c r="AF42" s="27"/>
      <c r="AG42" s="27"/>
      <c r="AH42" s="27"/>
    </row>
    <row r="43" spans="1:37" ht="16.5" thickBot="1" x14ac:dyDescent="0.3">
      <c r="A43" s="53" t="s">
        <v>367</v>
      </c>
      <c r="B43" s="48" t="s">
        <v>168</v>
      </c>
      <c r="C43" s="94">
        <f>Gegevens!AF31</f>
        <v>20872.359999999997</v>
      </c>
      <c r="D43" s="48" t="s">
        <v>210</v>
      </c>
      <c r="E43" s="48"/>
      <c r="F43" s="89"/>
      <c r="G43" s="48"/>
      <c r="H43" s="48"/>
      <c r="I43" s="55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50" t="s">
        <v>275</v>
      </c>
      <c r="X43" s="50">
        <v>2551000</v>
      </c>
      <c r="Y43" s="50" t="s">
        <v>74</v>
      </c>
      <c r="Z43" s="27"/>
      <c r="AA43" s="46">
        <v>500</v>
      </c>
      <c r="AB43" s="27"/>
      <c r="AC43" s="27"/>
      <c r="AD43" s="27"/>
      <c r="AE43" s="27"/>
      <c r="AF43" s="27"/>
      <c r="AG43" s="27"/>
      <c r="AH43" s="27"/>
    </row>
    <row r="44" spans="1:37" ht="15.75" x14ac:dyDescent="0.25">
      <c r="A44" s="185" t="s">
        <v>345</v>
      </c>
      <c r="B44" s="186"/>
      <c r="C44" s="186"/>
      <c r="D44" s="186" t="s">
        <v>346</v>
      </c>
      <c r="E44" s="186"/>
      <c r="F44" s="186"/>
      <c r="G44" s="186"/>
      <c r="H44" s="95"/>
      <c r="I44" s="96"/>
      <c r="L44" s="27"/>
      <c r="P44" s="27"/>
      <c r="Q44" s="27"/>
      <c r="R44" s="27"/>
      <c r="S44" s="27"/>
      <c r="T44" s="27"/>
      <c r="U44" s="27"/>
      <c r="V44" s="27"/>
      <c r="W44" s="46" t="s">
        <v>276</v>
      </c>
      <c r="X44" s="46">
        <v>2884000</v>
      </c>
      <c r="Y44" s="46" t="s">
        <v>62</v>
      </c>
      <c r="Z44" s="27"/>
      <c r="AA44" s="46">
        <v>524</v>
      </c>
      <c r="AB44" s="27"/>
      <c r="AC44" s="27"/>
      <c r="AD44" s="27"/>
      <c r="AE44" s="27"/>
      <c r="AF44" s="27"/>
      <c r="AG44" s="27"/>
      <c r="AH44" s="27"/>
    </row>
    <row r="45" spans="1:37" ht="15.75" x14ac:dyDescent="0.25">
      <c r="A45" s="53" t="s">
        <v>199</v>
      </c>
      <c r="B45" s="98">
        <f>Gegevens!Z36</f>
        <v>24.128</v>
      </c>
      <c r="C45" s="99" t="s">
        <v>344</v>
      </c>
      <c r="D45" s="48"/>
      <c r="E45" s="48" t="s">
        <v>199</v>
      </c>
      <c r="F45" s="98">
        <f>Gegevens!AD36</f>
        <v>5.58</v>
      </c>
      <c r="G45" s="134" t="s">
        <v>344</v>
      </c>
      <c r="H45" s="134"/>
      <c r="I45" s="55"/>
      <c r="L45" s="27"/>
      <c r="P45" s="27"/>
      <c r="Q45" s="27"/>
      <c r="R45" s="27"/>
      <c r="S45" s="27"/>
      <c r="T45" s="27"/>
      <c r="U45" s="27"/>
      <c r="V45" s="27"/>
      <c r="W45" s="50" t="s">
        <v>277</v>
      </c>
      <c r="X45" s="50">
        <v>2896000</v>
      </c>
      <c r="Y45" s="50" t="s">
        <v>47</v>
      </c>
      <c r="Z45" s="27"/>
      <c r="AA45" s="50">
        <v>540</v>
      </c>
      <c r="AB45" s="27"/>
      <c r="AC45" s="27"/>
      <c r="AD45" s="27"/>
      <c r="AE45" s="27"/>
      <c r="AF45" s="27"/>
      <c r="AG45" s="27"/>
      <c r="AH45" s="27"/>
    </row>
    <row r="46" spans="1:37" ht="15.75" x14ac:dyDescent="0.25">
      <c r="A46" s="53"/>
      <c r="B46" s="48"/>
      <c r="C46" s="48"/>
      <c r="D46" s="48"/>
      <c r="E46" s="48"/>
      <c r="F46" s="89"/>
      <c r="G46" s="48"/>
      <c r="H46" s="48"/>
      <c r="I46" s="55"/>
      <c r="J46" s="97"/>
      <c r="K46" s="97"/>
      <c r="L46" s="97"/>
      <c r="M46" s="48"/>
      <c r="N46" s="48"/>
      <c r="O46" s="48"/>
      <c r="P46" s="97"/>
      <c r="Q46" s="97"/>
      <c r="R46" s="97"/>
      <c r="S46" s="97"/>
      <c r="T46" s="97"/>
      <c r="U46" s="97"/>
      <c r="V46" s="97"/>
      <c r="W46" s="46" t="s">
        <v>278</v>
      </c>
      <c r="X46" s="46">
        <v>3482000</v>
      </c>
      <c r="Y46" s="46" t="s">
        <v>75</v>
      </c>
      <c r="Z46" s="27"/>
      <c r="AA46" s="46">
        <v>550</v>
      </c>
      <c r="AB46" s="27"/>
      <c r="AC46" s="27"/>
      <c r="AD46" s="27"/>
      <c r="AE46" s="27"/>
      <c r="AF46" s="27"/>
      <c r="AG46" s="27"/>
      <c r="AH46" s="27"/>
    </row>
    <row r="47" spans="1:37" ht="15.75" x14ac:dyDescent="0.25">
      <c r="A47" s="53" t="s">
        <v>211</v>
      </c>
      <c r="B47" s="170">
        <f>B45*$H$12*$H$13</f>
        <v>3860.48</v>
      </c>
      <c r="C47" s="170"/>
      <c r="D47" s="48"/>
      <c r="E47" s="48" t="s">
        <v>211</v>
      </c>
      <c r="F47" s="170">
        <f>F45*$G$28*$G$29</f>
        <v>1004.4</v>
      </c>
      <c r="G47" s="170"/>
      <c r="H47" s="48"/>
      <c r="I47" s="55"/>
      <c r="J47" s="97"/>
      <c r="K47" s="97"/>
      <c r="L47" s="97"/>
      <c r="M47" s="48"/>
      <c r="N47" s="48"/>
      <c r="O47" s="48"/>
      <c r="P47" s="97"/>
      <c r="Q47" s="97"/>
      <c r="R47" s="97"/>
      <c r="S47" s="97"/>
      <c r="T47" s="97"/>
      <c r="U47" s="97"/>
      <c r="V47" s="97"/>
      <c r="W47" s="50" t="s">
        <v>279</v>
      </c>
      <c r="X47" s="50">
        <v>3550000</v>
      </c>
      <c r="Y47" s="50" t="s">
        <v>48</v>
      </c>
      <c r="Z47" s="27"/>
      <c r="AA47" s="46">
        <v>590</v>
      </c>
      <c r="AB47" s="27"/>
      <c r="AC47" s="27"/>
      <c r="AD47" s="27"/>
      <c r="AE47" s="27"/>
      <c r="AF47" s="27"/>
      <c r="AG47" s="27"/>
      <c r="AH47" s="27"/>
    </row>
    <row r="48" spans="1:37" ht="15" customHeight="1" x14ac:dyDescent="0.25">
      <c r="A48" s="53"/>
      <c r="B48" s="48"/>
      <c r="C48" s="48"/>
      <c r="D48" s="48"/>
      <c r="E48" s="48"/>
      <c r="F48" s="48"/>
      <c r="G48" s="48"/>
      <c r="H48" s="48"/>
      <c r="I48" s="55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46" t="s">
        <v>280</v>
      </c>
      <c r="X48" s="46">
        <v>3551000</v>
      </c>
      <c r="Y48" s="46" t="s">
        <v>63</v>
      </c>
      <c r="Z48" s="27"/>
      <c r="AA48" s="50">
        <v>600</v>
      </c>
      <c r="AB48" s="51"/>
      <c r="AC48" s="27"/>
      <c r="AD48" s="27"/>
      <c r="AE48" s="27"/>
      <c r="AF48" s="27"/>
      <c r="AG48" s="27"/>
      <c r="AH48" s="27"/>
    </row>
    <row r="49" spans="1:34" ht="15" customHeight="1" thickBot="1" x14ac:dyDescent="0.3">
      <c r="A49" s="171" t="s">
        <v>360</v>
      </c>
      <c r="B49" s="172"/>
      <c r="C49" s="172"/>
      <c r="D49" s="61" t="s">
        <v>168</v>
      </c>
      <c r="E49" s="174">
        <f>B47-F47</f>
        <v>2856.08</v>
      </c>
      <c r="F49" s="174"/>
      <c r="G49" s="172"/>
      <c r="H49" s="172"/>
      <c r="I49" s="173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0" t="s">
        <v>281</v>
      </c>
      <c r="X49" s="50">
        <v>3796000</v>
      </c>
      <c r="Y49" s="50" t="s">
        <v>76</v>
      </c>
      <c r="Z49" s="27"/>
      <c r="AA49" s="50">
        <v>640</v>
      </c>
      <c r="AB49" s="27"/>
      <c r="AC49" s="27"/>
      <c r="AD49" s="27"/>
      <c r="AE49" s="27"/>
      <c r="AF49" s="27"/>
      <c r="AG49" s="27"/>
      <c r="AH49" s="27"/>
    </row>
    <row r="50" spans="1:34" ht="1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46" t="s">
        <v>282</v>
      </c>
      <c r="X50" s="46">
        <v>4052000</v>
      </c>
      <c r="Y50" s="46" t="s">
        <v>77</v>
      </c>
      <c r="Z50" s="27"/>
      <c r="AA50" s="46">
        <v>650</v>
      </c>
      <c r="AB50" s="27"/>
      <c r="AC50" s="27"/>
      <c r="AD50" s="27"/>
      <c r="AE50" s="27"/>
      <c r="AF50" s="27"/>
      <c r="AG50" s="27"/>
      <c r="AH50" s="27"/>
    </row>
    <row r="51" spans="1:34" ht="15" customHeight="1" x14ac:dyDescent="0.25"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0" t="s">
        <v>283</v>
      </c>
      <c r="X51" s="50">
        <v>4146000</v>
      </c>
      <c r="Y51" s="50" t="s">
        <v>96</v>
      </c>
      <c r="Z51" s="27"/>
      <c r="AA51" s="50">
        <v>690</v>
      </c>
      <c r="AB51" s="27"/>
      <c r="AC51" s="27"/>
      <c r="AD51" s="27"/>
      <c r="AE51" s="27"/>
      <c r="AF51" s="27"/>
      <c r="AG51" s="27"/>
      <c r="AH51" s="27"/>
    </row>
    <row r="52" spans="1:34" ht="15" customHeight="1" x14ac:dyDescent="0.25"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46" t="s">
        <v>284</v>
      </c>
      <c r="X52" s="46">
        <v>4287000</v>
      </c>
      <c r="Y52" s="46" t="s">
        <v>64</v>
      </c>
      <c r="Z52" s="27"/>
      <c r="AA52" s="50">
        <v>700</v>
      </c>
      <c r="AB52" s="47"/>
      <c r="AC52" s="27"/>
      <c r="AD52" s="27"/>
      <c r="AE52" s="27"/>
      <c r="AF52" s="27"/>
      <c r="AG52" s="27"/>
      <c r="AH52" s="27"/>
    </row>
    <row r="53" spans="1:34" ht="15.75" x14ac:dyDescent="0.25"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0" t="s">
        <v>285</v>
      </c>
      <c r="X53" s="50">
        <v>4297000</v>
      </c>
      <c r="Y53" s="50" t="s">
        <v>78</v>
      </c>
      <c r="Z53" s="27"/>
      <c r="AA53" s="46">
        <v>790</v>
      </c>
      <c r="AB53" s="46"/>
      <c r="AC53" s="27"/>
      <c r="AD53" s="27"/>
      <c r="AE53" s="27"/>
      <c r="AF53" s="27"/>
      <c r="AG53" s="27"/>
      <c r="AH53" s="27"/>
    </row>
    <row r="54" spans="1:34" x14ac:dyDescent="0.25"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46" t="s">
        <v>286</v>
      </c>
      <c r="X54" s="46">
        <v>4787000</v>
      </c>
      <c r="Y54" s="46" t="s">
        <v>97</v>
      </c>
      <c r="Z54" s="27"/>
      <c r="AA54" s="50">
        <v>800</v>
      </c>
      <c r="AB54" s="51"/>
      <c r="AC54" s="27"/>
      <c r="AD54" s="27"/>
      <c r="AE54" s="27"/>
      <c r="AF54" s="27"/>
      <c r="AG54" s="27"/>
      <c r="AH54" s="27"/>
    </row>
    <row r="55" spans="1:34" x14ac:dyDescent="0.25"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50" t="s">
        <v>287</v>
      </c>
      <c r="X55" s="50">
        <v>4820000</v>
      </c>
      <c r="Y55" s="50" t="s">
        <v>79</v>
      </c>
      <c r="Z55" s="27"/>
      <c r="AA55" s="46">
        <v>890</v>
      </c>
      <c r="AB55" s="51"/>
      <c r="AC55" s="27"/>
      <c r="AD55" s="27"/>
      <c r="AE55" s="27"/>
      <c r="AF55" s="27"/>
      <c r="AG55" s="27"/>
      <c r="AH55" s="27"/>
    </row>
    <row r="56" spans="1:34" x14ac:dyDescent="0.25"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46" t="s">
        <v>288</v>
      </c>
      <c r="X56" s="46">
        <v>4971000</v>
      </c>
      <c r="Y56" s="46" t="s">
        <v>89</v>
      </c>
      <c r="Z56" s="27"/>
      <c r="AA56" s="50">
        <v>900</v>
      </c>
      <c r="AB56" s="47"/>
      <c r="AC56" s="27"/>
      <c r="AD56" s="27"/>
      <c r="AE56" s="27"/>
      <c r="AF56" s="27"/>
      <c r="AG56" s="27"/>
      <c r="AH56" s="27"/>
    </row>
    <row r="57" spans="1:34" x14ac:dyDescent="0.25">
      <c r="J57" s="27"/>
      <c r="K57" s="27"/>
      <c r="L57" s="27"/>
      <c r="S57" s="27"/>
      <c r="T57" s="27"/>
      <c r="U57" s="27"/>
      <c r="V57" s="27"/>
      <c r="W57" s="50" t="s">
        <v>289</v>
      </c>
      <c r="X57" s="50">
        <v>5474000</v>
      </c>
      <c r="Y57" s="50" t="s">
        <v>98</v>
      </c>
      <c r="Z57" s="27"/>
      <c r="AA57" s="46">
        <v>990</v>
      </c>
      <c r="AB57" s="50"/>
      <c r="AC57" s="27"/>
      <c r="AD57" s="27"/>
      <c r="AE57" s="27"/>
      <c r="AF57" s="27"/>
      <c r="AG57" s="27"/>
      <c r="AH57" s="27"/>
    </row>
    <row r="58" spans="1:34" x14ac:dyDescent="0.25">
      <c r="J58" s="27"/>
      <c r="K58" s="27"/>
      <c r="L58" s="27"/>
      <c r="S58" s="27"/>
      <c r="T58" s="27"/>
      <c r="U58" s="27"/>
      <c r="V58" s="27"/>
      <c r="W58" s="46" t="s">
        <v>290</v>
      </c>
      <c r="X58" s="46">
        <v>5501000</v>
      </c>
      <c r="Y58" s="46" t="s">
        <v>80</v>
      </c>
      <c r="Z58" s="27"/>
      <c r="AA58" s="50">
        <v>1000</v>
      </c>
      <c r="AB58" s="50"/>
      <c r="AC58" s="27"/>
      <c r="AD58" s="27"/>
      <c r="AE58" s="27"/>
      <c r="AF58" s="27"/>
      <c r="AG58" s="27"/>
      <c r="AH58" s="27"/>
    </row>
    <row r="59" spans="1:34" x14ac:dyDescent="0.25">
      <c r="J59" s="27"/>
      <c r="K59" s="27"/>
      <c r="L59" s="27"/>
      <c r="S59" s="27"/>
      <c r="T59" s="27"/>
      <c r="U59" s="27"/>
      <c r="V59" s="27"/>
      <c r="W59" s="50" t="s">
        <v>291</v>
      </c>
      <c r="X59" s="50">
        <v>5701000</v>
      </c>
      <c r="Y59" s="50" t="s">
        <v>90</v>
      </c>
      <c r="Z59" s="27"/>
      <c r="AA59" s="27"/>
      <c r="AB59" s="27"/>
      <c r="AC59" s="27"/>
      <c r="AD59" s="27"/>
      <c r="AE59" s="27"/>
      <c r="AF59" s="27"/>
      <c r="AG59" s="27"/>
      <c r="AH59" s="27"/>
    </row>
    <row r="60" spans="1:34" x14ac:dyDescent="0.25">
      <c r="J60" s="27"/>
      <c r="K60" s="27"/>
      <c r="L60" s="27"/>
      <c r="S60" s="27"/>
      <c r="T60" s="27"/>
      <c r="U60" s="27"/>
      <c r="V60" s="27"/>
      <c r="W60" s="46" t="s">
        <v>292</v>
      </c>
      <c r="X60" s="46">
        <v>6180000</v>
      </c>
      <c r="Y60" s="46" t="s">
        <v>81</v>
      </c>
      <c r="Z60" s="27"/>
      <c r="AA60" s="27"/>
      <c r="AB60" s="27"/>
      <c r="AC60" s="27"/>
      <c r="AD60" s="27"/>
      <c r="AE60" s="27"/>
      <c r="AF60" s="27"/>
      <c r="AG60" s="27"/>
      <c r="AH60" s="27"/>
    </row>
    <row r="61" spans="1:34" x14ac:dyDescent="0.25">
      <c r="J61" s="27"/>
      <c r="K61" s="27"/>
      <c r="L61" s="27"/>
      <c r="S61" s="27"/>
      <c r="T61" s="27"/>
      <c r="U61" s="27"/>
      <c r="V61" s="27"/>
      <c r="W61" s="50" t="s">
        <v>293</v>
      </c>
      <c r="X61" s="50">
        <v>6241000</v>
      </c>
      <c r="Y61" s="50" t="s">
        <v>99</v>
      </c>
      <c r="Z61" s="27"/>
      <c r="AA61" s="27"/>
      <c r="AB61" s="27"/>
      <c r="AC61" s="27"/>
      <c r="AD61" s="27"/>
      <c r="AE61" s="27"/>
      <c r="AF61" s="27"/>
      <c r="AG61" s="27"/>
      <c r="AH61" s="27"/>
    </row>
    <row r="62" spans="1:34" x14ac:dyDescent="0.25">
      <c r="J62" s="27"/>
      <c r="K62" s="27"/>
      <c r="L62" s="27"/>
      <c r="S62" s="27"/>
      <c r="T62" s="27"/>
      <c r="U62" s="27"/>
      <c r="V62" s="27"/>
      <c r="W62" s="46" t="s">
        <v>294</v>
      </c>
      <c r="X62" s="46">
        <v>6480000</v>
      </c>
      <c r="Y62" s="46" t="s">
        <v>91</v>
      </c>
      <c r="Z62" s="27"/>
      <c r="AA62" s="27"/>
      <c r="AB62" s="27"/>
      <c r="AC62" s="27"/>
      <c r="AD62" s="27"/>
      <c r="AE62" s="27"/>
      <c r="AF62" s="27"/>
      <c r="AG62" s="27"/>
      <c r="AH62" s="27"/>
    </row>
    <row r="63" spans="1:34" x14ac:dyDescent="0.25">
      <c r="J63" s="27"/>
      <c r="K63" s="27"/>
      <c r="L63" s="27"/>
      <c r="S63" s="27"/>
      <c r="T63" s="27"/>
      <c r="U63" s="27"/>
      <c r="V63" s="27"/>
      <c r="W63" s="50" t="s">
        <v>295</v>
      </c>
      <c r="X63" s="50">
        <v>7340000</v>
      </c>
      <c r="Y63" s="50" t="s">
        <v>92</v>
      </c>
      <c r="Z63" s="27"/>
      <c r="AA63" s="27"/>
      <c r="AB63" s="27"/>
      <c r="AC63" s="27"/>
      <c r="AD63" s="27"/>
      <c r="AE63" s="27"/>
      <c r="AF63" s="27"/>
      <c r="AG63" s="27"/>
      <c r="AH63" s="27"/>
    </row>
    <row r="64" spans="1:34" x14ac:dyDescent="0.25">
      <c r="J64" s="27"/>
      <c r="K64" s="27"/>
      <c r="L64" s="27"/>
      <c r="S64" s="27"/>
      <c r="T64" s="27"/>
      <c r="U64" s="27"/>
      <c r="V64" s="27"/>
      <c r="W64" s="46" t="s">
        <v>296</v>
      </c>
      <c r="X64" s="46">
        <v>7682000</v>
      </c>
      <c r="Y64" s="46" t="s">
        <v>100</v>
      </c>
      <c r="Z64" s="27"/>
      <c r="AA64" s="27"/>
      <c r="AB64" s="27"/>
      <c r="AC64" s="27"/>
      <c r="AD64" s="27"/>
      <c r="AE64" s="27"/>
      <c r="AF64" s="27"/>
      <c r="AG64" s="27"/>
      <c r="AH64" s="27"/>
    </row>
    <row r="65" spans="10:34" x14ac:dyDescent="0.25">
      <c r="J65" s="27"/>
      <c r="K65" s="27"/>
      <c r="L65" s="27"/>
      <c r="S65" s="27"/>
      <c r="T65" s="27"/>
      <c r="U65" s="27"/>
      <c r="V65" s="27"/>
      <c r="W65" s="50" t="s">
        <v>297</v>
      </c>
      <c r="X65" s="50">
        <v>8977000</v>
      </c>
      <c r="Y65" s="50" t="s">
        <v>93</v>
      </c>
      <c r="Z65" s="27"/>
      <c r="AA65" s="27"/>
      <c r="AB65" s="27"/>
      <c r="AC65" s="27"/>
      <c r="AD65" s="27"/>
      <c r="AE65" s="27"/>
      <c r="AF65" s="27"/>
      <c r="AG65" s="27"/>
      <c r="AH65" s="27"/>
    </row>
    <row r="66" spans="10:34" x14ac:dyDescent="0.25">
      <c r="J66" s="27"/>
      <c r="K66" s="27"/>
      <c r="L66" s="27"/>
      <c r="S66" s="27"/>
      <c r="T66" s="27"/>
      <c r="U66" s="27"/>
      <c r="V66" s="27"/>
      <c r="W66" s="46" t="s">
        <v>298</v>
      </c>
      <c r="X66" s="46">
        <v>9485000</v>
      </c>
      <c r="Y66" s="46" t="s">
        <v>101</v>
      </c>
      <c r="Z66" s="27"/>
      <c r="AA66" s="27"/>
      <c r="AB66" s="27"/>
      <c r="AC66" s="27"/>
      <c r="AD66" s="27"/>
      <c r="AE66" s="27"/>
      <c r="AF66" s="27"/>
      <c r="AG66" s="27"/>
      <c r="AH66" s="27"/>
    </row>
    <row r="67" spans="10:34" x14ac:dyDescent="0.25">
      <c r="J67" s="27"/>
      <c r="K67" s="27"/>
      <c r="L67" s="27"/>
      <c r="S67" s="27"/>
      <c r="T67" s="27"/>
      <c r="U67" s="27"/>
      <c r="V67" s="27"/>
      <c r="W67" s="50" t="s">
        <v>299</v>
      </c>
      <c r="X67" s="50">
        <v>10979000</v>
      </c>
      <c r="Y67" s="50" t="s">
        <v>94</v>
      </c>
      <c r="Z67" s="27"/>
      <c r="AA67" s="27"/>
      <c r="AB67" s="27"/>
      <c r="AC67" s="27"/>
      <c r="AD67" s="27"/>
      <c r="AE67" s="27"/>
      <c r="AF67" s="27"/>
      <c r="AG67" s="27"/>
      <c r="AH67" s="27"/>
    </row>
    <row r="68" spans="10:34" x14ac:dyDescent="0.25">
      <c r="W68" s="21" t="s">
        <v>300</v>
      </c>
      <c r="X68" s="21">
        <v>11189000</v>
      </c>
      <c r="Y68" s="21" t="s">
        <v>102</v>
      </c>
    </row>
    <row r="69" spans="10:34" x14ac:dyDescent="0.25">
      <c r="W69" s="1" t="s">
        <v>301</v>
      </c>
      <c r="X69" s="1">
        <v>12895000</v>
      </c>
      <c r="Y69" s="1" t="s">
        <v>95</v>
      </c>
    </row>
  </sheetData>
  <sheetProtection sheet="1" selectLockedCells="1"/>
  <mergeCells count="55">
    <mergeCell ref="O4:Q4"/>
    <mergeCell ref="C28:D28"/>
    <mergeCell ref="F11:G11"/>
    <mergeCell ref="A27:B27"/>
    <mergeCell ref="A28:B28"/>
    <mergeCell ref="C27:D27"/>
    <mergeCell ref="A18:C18"/>
    <mergeCell ref="A20:C20"/>
    <mergeCell ref="A22:C22"/>
    <mergeCell ref="A25:C25"/>
    <mergeCell ref="D18:D25"/>
    <mergeCell ref="J37:J38"/>
    <mergeCell ref="A2:I3"/>
    <mergeCell ref="A4:I4"/>
    <mergeCell ref="A44:C44"/>
    <mergeCell ref="C29:D29"/>
    <mergeCell ref="D32:D33"/>
    <mergeCell ref="D36:D37"/>
    <mergeCell ref="D34:D35"/>
    <mergeCell ref="B12:D13"/>
    <mergeCell ref="A11:B11"/>
    <mergeCell ref="A12:A13"/>
    <mergeCell ref="C10:D10"/>
    <mergeCell ref="C11:D11"/>
    <mergeCell ref="D44:G44"/>
    <mergeCell ref="E34:I35"/>
    <mergeCell ref="E32:I33"/>
    <mergeCell ref="B47:C47"/>
    <mergeCell ref="F47:G47"/>
    <mergeCell ref="A49:C49"/>
    <mergeCell ref="G49:I49"/>
    <mergeCell ref="E49:F49"/>
    <mergeCell ref="F1:G1"/>
    <mergeCell ref="G28:H28"/>
    <mergeCell ref="G29:H29"/>
    <mergeCell ref="E12:G12"/>
    <mergeCell ref="E13:G13"/>
    <mergeCell ref="E10:G10"/>
    <mergeCell ref="H1:I1"/>
    <mergeCell ref="G45:H45"/>
    <mergeCell ref="B5:C7"/>
    <mergeCell ref="A9:I9"/>
    <mergeCell ref="E5:I5"/>
    <mergeCell ref="E6:I6"/>
    <mergeCell ref="A15:I15"/>
    <mergeCell ref="A16:I16"/>
    <mergeCell ref="A17:I17"/>
    <mergeCell ref="C40:E40"/>
    <mergeCell ref="A10:B10"/>
    <mergeCell ref="A32:C39"/>
    <mergeCell ref="G38:H38"/>
    <mergeCell ref="G39:H39"/>
    <mergeCell ref="A31:I31"/>
    <mergeCell ref="A42:I42"/>
    <mergeCell ref="E36:I37"/>
  </mergeCells>
  <conditionalFormatting sqref="A32">
    <cfRule type="iconSet" priority="19">
      <iconSet iconSet="3TrafficLights2" showValue="0" reverse="1">
        <cfvo type="percent" val="0"/>
        <cfvo type="num" val="$J$35"/>
        <cfvo type="num" val="1"/>
      </iconSet>
    </cfRule>
  </conditionalFormatting>
  <conditionalFormatting sqref="D32">
    <cfRule type="iconSet" priority="21">
      <iconSet iconSet="3TrafficLights2" showValue="0" reverse="1">
        <cfvo type="percent" val="0"/>
        <cfvo type="num" val="$J$35"/>
        <cfvo type="num" val="1"/>
      </iconSet>
    </cfRule>
  </conditionalFormatting>
  <conditionalFormatting sqref="D34">
    <cfRule type="iconSet" priority="20">
      <iconSet iconSet="3TrafficLights2" showValue="0" reverse="1">
        <cfvo type="percent" val="0"/>
        <cfvo type="num" val="$J$35"/>
        <cfvo type="num" val="1"/>
      </iconSet>
    </cfRule>
  </conditionalFormatting>
  <conditionalFormatting sqref="D36">
    <cfRule type="iconSet" priority="4">
      <iconSet iconSet="3TrafficLights2" showValue="0" reverse="1">
        <cfvo type="percent" val="0"/>
        <cfvo type="num" val="0.9"/>
        <cfvo type="num" val="1"/>
      </iconSet>
    </cfRule>
  </conditionalFormatting>
  <conditionalFormatting sqref="D5:E6">
    <cfRule type="iconSet" priority="1">
      <iconSet iconSet="3TrafficLights2" showValue="0">
        <cfvo type="percent" val="0"/>
        <cfvo type="percentile" val="33"/>
        <cfvo type="percentile" val="67"/>
      </iconSet>
    </cfRule>
  </conditionalFormatting>
  <conditionalFormatting sqref="E34">
    <cfRule type="iconSet" priority="6">
      <iconSet iconSet="3TrafficLights2" showValue="0">
        <cfvo type="percent" val="0"/>
        <cfvo type="percentile" val="33"/>
        <cfvo type="percentile" val="67"/>
      </iconSet>
    </cfRule>
  </conditionalFormatting>
  <conditionalFormatting sqref="E36 E32">
    <cfRule type="iconSet" priority="7">
      <iconSet iconSet="3TrafficLights2" showValue="0">
        <cfvo type="percent" val="0"/>
        <cfvo type="percentile" val="33"/>
        <cfvo type="percentile" val="67"/>
      </iconSet>
    </cfRule>
  </conditionalFormatting>
  <conditionalFormatting sqref="S16">
    <cfRule type="cellIs" dxfId="1" priority="13" operator="greaterThan">
      <formula>$AE$10</formula>
    </cfRule>
  </conditionalFormatting>
  <conditionalFormatting sqref="S17">
    <cfRule type="cellIs" dxfId="0" priority="14" operator="greaterThan">
      <formula>$AE$11</formula>
    </cfRule>
  </conditionalFormatting>
  <dataValidations count="7">
    <dataValidation type="list" allowBlank="1" showInputMessage="1" showErrorMessage="1" sqref="C10" xr:uid="{EBDCCF3F-386A-4D75-B51D-29FE7F8484A6}">
      <formula1>$Y$6:$Y$69</formula1>
    </dataValidation>
    <dataValidation type="list" allowBlank="1" showInputMessage="1" showErrorMessage="1" sqref="A5" xr:uid="{431F9C5A-04E7-4E2A-B59C-EE86AE5EB399}">
      <formula1>$K$5:$K$7</formula1>
    </dataValidation>
    <dataValidation type="list" allowBlank="1" showInputMessage="1" showErrorMessage="1" sqref="C11" xr:uid="{E0584046-F4A8-4DE2-9F1E-196D73C91205}">
      <formula1>$K$15:$K$18</formula1>
    </dataValidation>
    <dataValidation type="list" allowBlank="1" showInputMessage="1" showErrorMessage="1" sqref="C28" xr:uid="{C7D8363A-6C3B-404F-8C42-AE1493F9E5F3}">
      <formula1>$O$5:$O$8</formula1>
    </dataValidation>
    <dataValidation type="list" allowBlank="1" showInputMessage="1" showErrorMessage="1" sqref="C29:D29" xr:uid="{B301CC26-D151-4C09-B63F-C3890248F0B7}">
      <formula1>$M$34:$M$38</formula1>
    </dataValidation>
    <dataValidation type="list" allowBlank="1" showInputMessage="1" showErrorMessage="1" sqref="A7" xr:uid="{7D89AFA2-DF14-4EA5-80D9-FA01527AB865}">
      <formula1>$K$20:$K$23</formula1>
    </dataValidation>
    <dataValidation type="list" allowBlank="1" showInputMessage="1" showErrorMessage="1" sqref="A6" xr:uid="{1A357391-3F5F-444A-AF2A-0D99F4051B60}">
      <formula1>$K$9:$K$13</formula1>
    </dataValidation>
  </dataValidations>
  <pageMargins left="0.7" right="0.7" top="0.75" bottom="0.75" header="0.3" footer="0.3"/>
  <pageSetup paperSize="9" orientation="portrait" verticalDpi="300" r:id="rId1"/>
  <rowBreaks count="1" manualBreakCount="1">
    <brk id="49" max="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00000000-000E-0000-0200-000002000000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TrafficLights2" iconId="2"/>
              <x14:cfIcon iconSet="3TrafficLights2" iconId="0"/>
            </x14:iconSet>
          </x14:cfRule>
          <xm:sqref>B5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I77"/>
  <sheetViews>
    <sheetView workbookViewId="0">
      <pane xSplit="1" ySplit="13" topLeftCell="C14" activePane="bottomRight" state="frozen"/>
      <selection pane="topRight" activeCell="B1" sqref="B1"/>
      <selection pane="bottomLeft" activeCell="A14" sqref="A14"/>
      <selection pane="bottomRight" activeCell="C1" sqref="C1"/>
    </sheetView>
  </sheetViews>
  <sheetFormatPr defaultRowHeight="15" x14ac:dyDescent="0.25"/>
  <cols>
    <col min="1" max="1" width="12.42578125" bestFit="1" customWidth="1"/>
    <col min="2" max="2" width="7.5703125" bestFit="1" customWidth="1"/>
    <col min="3" max="3" width="8" bestFit="1" customWidth="1"/>
    <col min="4" max="4" width="5.5703125" bestFit="1" customWidth="1"/>
    <col min="5" max="5" width="5" bestFit="1" customWidth="1"/>
    <col min="6" max="6" width="7.28515625" bestFit="1" customWidth="1"/>
    <col min="7" max="7" width="9" bestFit="1" customWidth="1"/>
    <col min="8" max="8" width="6.5703125" bestFit="1" customWidth="1"/>
    <col min="9" max="9" width="4.7109375" bestFit="1" customWidth="1"/>
    <col min="10" max="10" width="7.140625" bestFit="1" customWidth="1"/>
    <col min="11" max="11" width="8" bestFit="1" customWidth="1"/>
    <col min="12" max="12" width="7.28515625" bestFit="1" customWidth="1"/>
    <col min="13" max="13" width="7.5703125" bestFit="1" customWidth="1"/>
    <col min="14" max="14" width="6.85546875" bestFit="1" customWidth="1"/>
    <col min="15" max="15" width="11" bestFit="1" customWidth="1"/>
    <col min="16" max="16" width="9" bestFit="1" customWidth="1"/>
    <col min="17" max="17" width="8" bestFit="1" customWidth="1"/>
    <col min="18" max="18" width="10" bestFit="1" customWidth="1"/>
    <col min="19" max="19" width="8" bestFit="1" customWidth="1"/>
    <col min="20" max="20" width="10" bestFit="1" customWidth="1"/>
    <col min="21" max="21" width="9.28515625" bestFit="1" customWidth="1"/>
    <col min="22" max="22" width="5.28515625" bestFit="1" customWidth="1"/>
    <col min="23" max="23" width="5.5703125" bestFit="1" customWidth="1"/>
    <col min="24" max="24" width="11" bestFit="1" customWidth="1"/>
    <col min="25" max="25" width="9" bestFit="1" customWidth="1"/>
    <col min="26" max="26" width="10.5703125" customWidth="1"/>
    <col min="27" max="27" width="10" bestFit="1" customWidth="1"/>
    <col min="28" max="29" width="8" bestFit="1" customWidth="1"/>
    <col min="30" max="30" width="10.5703125" customWidth="1"/>
    <col min="31" max="31" width="10" bestFit="1" customWidth="1"/>
    <col min="32" max="32" width="9" customWidth="1"/>
    <col min="33" max="33" width="8" bestFit="1" customWidth="1"/>
    <col min="34" max="34" width="9.140625" customWidth="1"/>
  </cols>
  <sheetData>
    <row r="1" spans="1:31" x14ac:dyDescent="0.25">
      <c r="C1" s="23" t="s">
        <v>33</v>
      </c>
      <c r="F1" t="s">
        <v>108</v>
      </c>
      <c r="G1">
        <f>VLOOKUP($C$1,$A$14:$U$77,16,FALSE)/1000</f>
        <v>106.3</v>
      </c>
      <c r="H1" t="s">
        <v>129</v>
      </c>
      <c r="J1" t="s">
        <v>109</v>
      </c>
      <c r="K1">
        <f>VLOOKUP($C$1,$A$14:$U$77,19,FALSE)/1000</f>
        <v>38.479999999999997</v>
      </c>
      <c r="L1" t="s">
        <v>129</v>
      </c>
      <c r="T1" s="201" t="s">
        <v>140</v>
      </c>
      <c r="U1" s="201"/>
      <c r="V1" s="201"/>
      <c r="W1" s="4"/>
    </row>
    <row r="2" spans="1:31" x14ac:dyDescent="0.25">
      <c r="C2" s="23" t="s">
        <v>105</v>
      </c>
      <c r="F2" t="s">
        <v>110</v>
      </c>
      <c r="G2">
        <f>VLOOKUP($C$1,$A$14:$U$77,17,FALSE)/1000</f>
        <v>119.5</v>
      </c>
      <c r="H2" t="s">
        <v>129</v>
      </c>
      <c r="J2" t="s">
        <v>111</v>
      </c>
      <c r="K2">
        <f>VLOOKUP($C$1,$A$14:$U$77,20,FALSE)/1000</f>
        <v>58.85</v>
      </c>
      <c r="L2" t="s">
        <v>129</v>
      </c>
      <c r="T2" s="4"/>
      <c r="U2" s="4" t="s">
        <v>133</v>
      </c>
      <c r="V2" s="4" t="s">
        <v>132</v>
      </c>
      <c r="W2" s="4"/>
    </row>
    <row r="3" spans="1:31" x14ac:dyDescent="0.25">
      <c r="B3" t="s">
        <v>3</v>
      </c>
      <c r="C3">
        <f>VLOOKUP($C$1,$A$14:$U$77,2,FALSE)</f>
        <v>114</v>
      </c>
      <c r="D3" t="s">
        <v>122</v>
      </c>
      <c r="F3" t="s">
        <v>112</v>
      </c>
      <c r="G3">
        <f>VLOOKUP($C$1,$A$14:$U$77,15,FALSE)</f>
        <v>6062000</v>
      </c>
      <c r="H3" t="s">
        <v>119</v>
      </c>
      <c r="J3" t="s">
        <v>113</v>
      </c>
      <c r="K3">
        <f>VLOOKUP($C$1,$A$14:$U$77,18,FALSE)</f>
        <v>2309000</v>
      </c>
      <c r="L3" t="s">
        <v>119</v>
      </c>
      <c r="T3" s="4" t="s">
        <v>104</v>
      </c>
      <c r="U3" s="4">
        <v>235</v>
      </c>
      <c r="V3" s="4">
        <v>340</v>
      </c>
      <c r="W3" t="s">
        <v>148</v>
      </c>
    </row>
    <row r="4" spans="1:31" x14ac:dyDescent="0.25">
      <c r="B4" t="s">
        <v>2</v>
      </c>
      <c r="C4">
        <f>VLOOKUP($C$1,$A$14:$U$77,3,FALSE)</f>
        <v>120</v>
      </c>
      <c r="D4" t="s">
        <v>122</v>
      </c>
      <c r="T4" s="4" t="s">
        <v>131</v>
      </c>
      <c r="U4" s="4">
        <v>275</v>
      </c>
      <c r="V4" s="4">
        <v>410</v>
      </c>
      <c r="W4" t="s">
        <v>148</v>
      </c>
    </row>
    <row r="5" spans="1:31" x14ac:dyDescent="0.25">
      <c r="B5" t="s">
        <v>1</v>
      </c>
      <c r="C5">
        <f>VLOOKUP($C$1,$A$14:$U$77,5,FALSE)</f>
        <v>8</v>
      </c>
      <c r="D5" t="s">
        <v>122</v>
      </c>
      <c r="F5" s="200" t="s">
        <v>127</v>
      </c>
      <c r="G5" s="200"/>
      <c r="H5" s="200"/>
      <c r="J5" s="200" t="s">
        <v>126</v>
      </c>
      <c r="K5" s="200"/>
      <c r="L5" s="200"/>
      <c r="T5" s="4" t="s">
        <v>105</v>
      </c>
      <c r="U5" s="4">
        <v>355</v>
      </c>
      <c r="V5" s="4">
        <v>480</v>
      </c>
      <c r="W5" t="s">
        <v>149</v>
      </c>
    </row>
    <row r="6" spans="1:31" x14ac:dyDescent="0.25">
      <c r="B6" t="s">
        <v>106</v>
      </c>
      <c r="C6">
        <f>VLOOKUP($C$1,$A$14:$U$77,4,FALSE)</f>
        <v>5</v>
      </c>
      <c r="D6" t="s">
        <v>122</v>
      </c>
      <c r="F6" t="s">
        <v>114</v>
      </c>
      <c r="G6" s="2">
        <f>VLOOKUP($C$2,$T$3:$U$5,2,FALSE)*G1/1000</f>
        <v>37.736499999999999</v>
      </c>
      <c r="H6" t="s">
        <v>118</v>
      </c>
      <c r="J6" t="s">
        <v>115</v>
      </c>
      <c r="K6" s="2">
        <f>VLOOKUP($C$2,$T$3:$U$5,2,FALSE)*K1/1000</f>
        <v>13.660399999999999</v>
      </c>
      <c r="L6" t="s">
        <v>118</v>
      </c>
      <c r="T6" s="13" t="s">
        <v>145</v>
      </c>
      <c r="U6" s="13">
        <v>235</v>
      </c>
      <c r="V6" s="13">
        <v>340</v>
      </c>
      <c r="W6" t="s">
        <v>150</v>
      </c>
    </row>
    <row r="7" spans="1:31" x14ac:dyDescent="0.25">
      <c r="B7" t="s">
        <v>9</v>
      </c>
      <c r="C7">
        <f>VLOOKUP($C$1,$A$14:$U$77,7,FALSE)</f>
        <v>2530</v>
      </c>
      <c r="D7" t="s">
        <v>121</v>
      </c>
      <c r="F7" t="s">
        <v>116</v>
      </c>
      <c r="G7" s="2">
        <f>VLOOKUP($C$2,$T$3:$U$5,2,FALSE)*G2/1000</f>
        <v>42.422499999999999</v>
      </c>
      <c r="H7" t="s">
        <v>118</v>
      </c>
      <c r="J7" t="s">
        <v>117</v>
      </c>
      <c r="K7" s="2">
        <f>VLOOKUP($C$2,$T$3:$U$5,2,FALSE)*K2/1000</f>
        <v>20.891749999999998</v>
      </c>
      <c r="L7" t="s">
        <v>118</v>
      </c>
    </row>
    <row r="8" spans="1:31" x14ac:dyDescent="0.25">
      <c r="B8" t="s">
        <v>107</v>
      </c>
      <c r="C8">
        <f>VLOOKUP($C$1,$A$14:$U$77,8,FALSE)</f>
        <v>19.899999999999999</v>
      </c>
      <c r="D8" t="s">
        <v>120</v>
      </c>
      <c r="F8" t="s">
        <v>123</v>
      </c>
      <c r="G8" s="2">
        <f>G3*210000/1000000000</f>
        <v>1273.02</v>
      </c>
      <c r="H8" t="s">
        <v>125</v>
      </c>
      <c r="J8" t="s">
        <v>124</v>
      </c>
      <c r="K8" s="2">
        <f>K3*210000/1000000000</f>
        <v>484.89</v>
      </c>
      <c r="L8" t="s">
        <v>125</v>
      </c>
    </row>
    <row r="9" spans="1:31" x14ac:dyDescent="0.25">
      <c r="B9" s="3" t="s">
        <v>130</v>
      </c>
      <c r="C9">
        <f>C7/100</f>
        <v>25.3</v>
      </c>
      <c r="D9" t="s">
        <v>128</v>
      </c>
    </row>
    <row r="11" spans="1:31" x14ac:dyDescent="0.25">
      <c r="A11" s="1"/>
      <c r="B11" s="202" t="s">
        <v>5</v>
      </c>
      <c r="C11" s="202"/>
      <c r="D11" s="202"/>
      <c r="E11" s="202"/>
      <c r="F11" s="202"/>
      <c r="G11" s="1" t="s">
        <v>23</v>
      </c>
      <c r="H11" s="1" t="s">
        <v>24</v>
      </c>
      <c r="I11" s="202" t="s">
        <v>25</v>
      </c>
      <c r="J11" s="202"/>
      <c r="K11" s="202"/>
      <c r="L11" s="202"/>
      <c r="M11" s="202"/>
      <c r="N11" s="1" t="s">
        <v>6</v>
      </c>
      <c r="O11" s="202" t="s">
        <v>82</v>
      </c>
      <c r="P11" s="202"/>
      <c r="Q11" s="202"/>
      <c r="R11" s="202" t="s">
        <v>83</v>
      </c>
      <c r="S11" s="202"/>
      <c r="T11" s="202"/>
      <c r="U11" s="1"/>
    </row>
    <row r="12" spans="1:31" x14ac:dyDescent="0.25">
      <c r="A12" s="1"/>
      <c r="B12" s="1" t="s">
        <v>84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14</v>
      </c>
      <c r="H12" s="1" t="s">
        <v>85</v>
      </c>
      <c r="I12" s="1" t="s">
        <v>84</v>
      </c>
      <c r="J12" s="1" t="s">
        <v>84</v>
      </c>
      <c r="K12" s="1"/>
      <c r="L12" s="1" t="s">
        <v>84</v>
      </c>
      <c r="M12" s="1" t="s">
        <v>84</v>
      </c>
      <c r="N12" s="1" t="s">
        <v>15</v>
      </c>
      <c r="O12" s="1" t="s">
        <v>86</v>
      </c>
      <c r="P12" s="1" t="s">
        <v>16</v>
      </c>
      <c r="Q12" s="1" t="s">
        <v>16</v>
      </c>
      <c r="R12" s="1" t="s">
        <v>86</v>
      </c>
      <c r="S12" s="1" t="s">
        <v>16</v>
      </c>
      <c r="T12" s="1" t="s">
        <v>16</v>
      </c>
      <c r="U12" s="1"/>
    </row>
    <row r="13" spans="1:31" x14ac:dyDescent="0.25">
      <c r="A13" s="7" t="s">
        <v>4</v>
      </c>
      <c r="B13" s="8" t="s">
        <v>3</v>
      </c>
      <c r="C13" s="8" t="s">
        <v>2</v>
      </c>
      <c r="D13" s="8" t="s">
        <v>0</v>
      </c>
      <c r="E13" s="8" t="s">
        <v>1</v>
      </c>
      <c r="F13" s="8" t="s">
        <v>8</v>
      </c>
      <c r="G13" s="8" t="s">
        <v>9</v>
      </c>
      <c r="H13" s="8" t="s">
        <v>7</v>
      </c>
      <c r="I13" s="8" t="s">
        <v>10</v>
      </c>
      <c r="J13" s="8" t="s">
        <v>11</v>
      </c>
      <c r="K13" s="8" t="s">
        <v>12</v>
      </c>
      <c r="L13" s="8" t="s">
        <v>26</v>
      </c>
      <c r="M13" s="8" t="s">
        <v>27</v>
      </c>
      <c r="N13" s="8" t="s">
        <v>13</v>
      </c>
      <c r="O13" s="8" t="s">
        <v>87</v>
      </c>
      <c r="P13" s="8" t="s">
        <v>28</v>
      </c>
      <c r="Q13" s="8" t="s">
        <v>29</v>
      </c>
      <c r="R13" s="8" t="s">
        <v>88</v>
      </c>
      <c r="S13" s="8" t="s">
        <v>30</v>
      </c>
      <c r="T13" s="8" t="s">
        <v>31</v>
      </c>
      <c r="U13" s="9" t="s">
        <v>143</v>
      </c>
    </row>
    <row r="14" spans="1:31" x14ac:dyDescent="0.25">
      <c r="A14" s="5" t="s">
        <v>32</v>
      </c>
      <c r="B14" s="1">
        <v>96</v>
      </c>
      <c r="C14" s="1">
        <v>100</v>
      </c>
      <c r="D14" s="1">
        <v>5</v>
      </c>
      <c r="E14" s="1">
        <v>8</v>
      </c>
      <c r="F14" s="1">
        <v>12</v>
      </c>
      <c r="G14" s="1">
        <v>2120</v>
      </c>
      <c r="H14" s="1">
        <v>16.7</v>
      </c>
      <c r="I14" s="1">
        <v>80</v>
      </c>
      <c r="J14" s="1">
        <v>56</v>
      </c>
      <c r="K14" s="1" t="s">
        <v>17</v>
      </c>
      <c r="L14" s="1">
        <v>54</v>
      </c>
      <c r="M14" s="1">
        <v>58</v>
      </c>
      <c r="N14" s="1">
        <v>0.56100000000000005</v>
      </c>
      <c r="O14" s="1">
        <v>3492000</v>
      </c>
      <c r="P14" s="1">
        <v>72760</v>
      </c>
      <c r="Q14" s="1">
        <v>83010</v>
      </c>
      <c r="R14" s="1">
        <v>1338000</v>
      </c>
      <c r="S14" s="1">
        <v>26760</v>
      </c>
      <c r="T14" s="1">
        <v>41140</v>
      </c>
      <c r="U14" s="6" t="s">
        <v>103</v>
      </c>
    </row>
    <row r="15" spans="1:31" x14ac:dyDescent="0.25">
      <c r="A15" s="5" t="s">
        <v>33</v>
      </c>
      <c r="B15" s="1">
        <v>114</v>
      </c>
      <c r="C15" s="1">
        <v>120</v>
      </c>
      <c r="D15" s="1">
        <v>5</v>
      </c>
      <c r="E15" s="1">
        <v>8</v>
      </c>
      <c r="F15" s="1">
        <v>12</v>
      </c>
      <c r="G15" s="1">
        <v>2530</v>
      </c>
      <c r="H15" s="1">
        <v>19.899999999999999</v>
      </c>
      <c r="I15" s="1">
        <v>98</v>
      </c>
      <c r="J15" s="1">
        <v>74</v>
      </c>
      <c r="K15" s="1" t="s">
        <v>18</v>
      </c>
      <c r="L15" s="1">
        <v>58</v>
      </c>
      <c r="M15" s="1">
        <v>68</v>
      </c>
      <c r="N15" s="1">
        <v>0.67700000000000005</v>
      </c>
      <c r="O15" s="1">
        <v>6062000</v>
      </c>
      <c r="P15" s="1">
        <v>106300</v>
      </c>
      <c r="Q15" s="1">
        <v>119500</v>
      </c>
      <c r="R15" s="1">
        <v>2309000</v>
      </c>
      <c r="S15" s="1">
        <v>38480</v>
      </c>
      <c r="T15" s="1">
        <v>58850</v>
      </c>
      <c r="U15" s="6" t="s">
        <v>103</v>
      </c>
      <c r="Y15" s="200" t="s">
        <v>215</v>
      </c>
      <c r="Z15" s="200"/>
      <c r="AA15" s="200"/>
      <c r="AB15" s="200"/>
      <c r="AC15" s="200"/>
      <c r="AD15" s="200"/>
      <c r="AE15" s="200"/>
    </row>
    <row r="16" spans="1:31" x14ac:dyDescent="0.25">
      <c r="A16" s="5" t="s">
        <v>49</v>
      </c>
      <c r="B16" s="1">
        <v>120</v>
      </c>
      <c r="C16" s="1">
        <v>120</v>
      </c>
      <c r="D16" s="1">
        <v>6.5</v>
      </c>
      <c r="E16" s="1">
        <v>11</v>
      </c>
      <c r="F16" s="1">
        <v>12</v>
      </c>
      <c r="G16" s="1">
        <v>3400</v>
      </c>
      <c r="H16" s="1">
        <v>26.7</v>
      </c>
      <c r="I16" s="1">
        <v>98</v>
      </c>
      <c r="J16" s="1">
        <v>74</v>
      </c>
      <c r="K16" s="1" t="s">
        <v>18</v>
      </c>
      <c r="L16" s="1">
        <v>60</v>
      </c>
      <c r="M16" s="1">
        <v>68</v>
      </c>
      <c r="N16" s="1">
        <v>0.68600000000000005</v>
      </c>
      <c r="O16" s="1">
        <v>8644000</v>
      </c>
      <c r="P16" s="1">
        <v>144100</v>
      </c>
      <c r="Q16" s="1">
        <v>165200</v>
      </c>
      <c r="R16" s="1">
        <v>3175000</v>
      </c>
      <c r="S16" s="1">
        <v>52920</v>
      </c>
      <c r="T16" s="1">
        <v>80970</v>
      </c>
      <c r="U16" s="6" t="s">
        <v>103</v>
      </c>
      <c r="X16" t="s">
        <v>134</v>
      </c>
      <c r="Y16" s="200" t="s">
        <v>212</v>
      </c>
      <c r="Z16" s="200"/>
      <c r="AA16" s="200"/>
      <c r="AC16" s="200" t="s">
        <v>213</v>
      </c>
      <c r="AD16" s="200"/>
      <c r="AE16" s="200"/>
    </row>
    <row r="17" spans="1:33" x14ac:dyDescent="0.25">
      <c r="A17" s="5" t="s">
        <v>34</v>
      </c>
      <c r="B17" s="1">
        <v>133</v>
      </c>
      <c r="C17" s="1">
        <v>140</v>
      </c>
      <c r="D17" s="1">
        <v>5.5</v>
      </c>
      <c r="E17" s="1">
        <v>8.5</v>
      </c>
      <c r="F17" s="1">
        <v>12</v>
      </c>
      <c r="G17" s="1">
        <v>3140</v>
      </c>
      <c r="H17" s="1">
        <v>24.7</v>
      </c>
      <c r="I17" s="1">
        <v>116</v>
      </c>
      <c r="J17" s="1">
        <v>92</v>
      </c>
      <c r="K17" s="1" t="s">
        <v>19</v>
      </c>
      <c r="L17" s="1">
        <v>64</v>
      </c>
      <c r="M17" s="1">
        <v>76</v>
      </c>
      <c r="N17" s="1">
        <v>0.79400000000000004</v>
      </c>
      <c r="O17" s="1">
        <v>10330000</v>
      </c>
      <c r="P17" s="1">
        <v>155400</v>
      </c>
      <c r="Q17" s="1">
        <v>173500</v>
      </c>
      <c r="R17" s="1">
        <v>3893000</v>
      </c>
      <c r="S17" s="1">
        <v>55620</v>
      </c>
      <c r="T17" s="1">
        <v>84850</v>
      </c>
      <c r="U17" s="6" t="s">
        <v>103</v>
      </c>
      <c r="Y17" s="200" t="s">
        <v>218</v>
      </c>
      <c r="Z17" s="200"/>
      <c r="AA17" s="200"/>
      <c r="AC17" s="200" t="s">
        <v>217</v>
      </c>
      <c r="AD17" s="200"/>
      <c r="AE17" s="200"/>
    </row>
    <row r="18" spans="1:33" x14ac:dyDescent="0.25">
      <c r="A18" s="5" t="s">
        <v>65</v>
      </c>
      <c r="B18" s="1">
        <v>120</v>
      </c>
      <c r="C18" s="1">
        <v>106</v>
      </c>
      <c r="D18" s="1">
        <v>12</v>
      </c>
      <c r="E18" s="1">
        <v>20</v>
      </c>
      <c r="F18" s="1">
        <v>12</v>
      </c>
      <c r="G18" s="1">
        <v>5320</v>
      </c>
      <c r="H18" s="1">
        <v>41.8</v>
      </c>
      <c r="I18" s="1">
        <v>80</v>
      </c>
      <c r="J18" s="1">
        <v>56</v>
      </c>
      <c r="K18" s="1" t="s">
        <v>17</v>
      </c>
      <c r="L18" s="1">
        <v>62</v>
      </c>
      <c r="M18" s="1">
        <v>64</v>
      </c>
      <c r="N18" s="1">
        <v>0.61899999999999999</v>
      </c>
      <c r="O18" s="1">
        <v>11430000</v>
      </c>
      <c r="P18" s="1">
        <v>190400</v>
      </c>
      <c r="Q18" s="1">
        <v>235800</v>
      </c>
      <c r="R18" s="1">
        <v>3992000</v>
      </c>
      <c r="S18" s="1">
        <v>75310</v>
      </c>
      <c r="T18" s="1">
        <v>116300</v>
      </c>
      <c r="U18" s="6" t="s">
        <v>103</v>
      </c>
      <c r="Y18" t="str">
        <f>'Buiten Zoekblad'!C10</f>
        <v>HEB 240</v>
      </c>
      <c r="Z18">
        <f>VLOOKUP(Y18,Tabel1[],8,FALSE)</f>
        <v>83.2</v>
      </c>
      <c r="AA18" t="s">
        <v>198</v>
      </c>
      <c r="AC18" t="str">
        <f>'Buiten Zoekblad'!C27</f>
        <v>HEB 260</v>
      </c>
      <c r="AD18">
        <f>VLOOKUP(AC18,Tabel1[],8,FALSE)</f>
        <v>93</v>
      </c>
      <c r="AE18" t="s">
        <v>198</v>
      </c>
    </row>
    <row r="19" spans="1:33" x14ac:dyDescent="0.25">
      <c r="A19" s="5" t="s">
        <v>50</v>
      </c>
      <c r="B19" s="1">
        <v>140</v>
      </c>
      <c r="C19" s="1">
        <v>140</v>
      </c>
      <c r="D19" s="1">
        <v>7</v>
      </c>
      <c r="E19" s="1">
        <v>12</v>
      </c>
      <c r="F19" s="1">
        <v>12</v>
      </c>
      <c r="G19" s="1">
        <v>4300</v>
      </c>
      <c r="H19" s="1">
        <v>33.700000000000003</v>
      </c>
      <c r="I19" s="1">
        <v>116</v>
      </c>
      <c r="J19" s="1">
        <v>92</v>
      </c>
      <c r="K19" s="1" t="s">
        <v>19</v>
      </c>
      <c r="L19" s="1">
        <v>66</v>
      </c>
      <c r="M19" s="1">
        <v>76</v>
      </c>
      <c r="N19" s="1">
        <v>0.80500000000000005</v>
      </c>
      <c r="O19" s="1">
        <v>15090000</v>
      </c>
      <c r="P19" s="1">
        <v>215600</v>
      </c>
      <c r="Q19" s="1">
        <v>245400</v>
      </c>
      <c r="R19" s="1">
        <v>5497000</v>
      </c>
      <c r="S19" s="1">
        <v>78520</v>
      </c>
      <c r="T19" s="1">
        <v>119800</v>
      </c>
      <c r="U19" s="6" t="s">
        <v>103</v>
      </c>
      <c r="Y19" t="s">
        <v>172</v>
      </c>
      <c r="Z19">
        <f>'Buiten Zoekblad'!H12</f>
        <v>8</v>
      </c>
      <c r="AA19" t="s">
        <v>208</v>
      </c>
      <c r="AC19" t="s">
        <v>172</v>
      </c>
      <c r="AD19">
        <f>'Buiten Zoekblad'!G28</f>
        <v>9</v>
      </c>
      <c r="AE19" t="s">
        <v>208</v>
      </c>
    </row>
    <row r="20" spans="1:33" x14ac:dyDescent="0.25">
      <c r="A20" s="5" t="s">
        <v>35</v>
      </c>
      <c r="B20" s="1">
        <v>152</v>
      </c>
      <c r="C20" s="1">
        <v>160</v>
      </c>
      <c r="D20" s="1">
        <v>6</v>
      </c>
      <c r="E20" s="1">
        <v>9</v>
      </c>
      <c r="F20" s="1">
        <v>15</v>
      </c>
      <c r="G20" s="1">
        <v>3880</v>
      </c>
      <c r="H20" s="1">
        <v>30.4</v>
      </c>
      <c r="I20" s="1">
        <v>134</v>
      </c>
      <c r="J20" s="1">
        <v>104</v>
      </c>
      <c r="K20" s="1" t="s">
        <v>20</v>
      </c>
      <c r="L20" s="1">
        <v>78</v>
      </c>
      <c r="M20" s="1">
        <v>84</v>
      </c>
      <c r="N20" s="1">
        <v>0.90600000000000003</v>
      </c>
      <c r="O20" s="1">
        <v>16730000</v>
      </c>
      <c r="P20" s="1">
        <v>220100</v>
      </c>
      <c r="Q20" s="1">
        <v>245100</v>
      </c>
      <c r="R20" s="1">
        <v>6156000</v>
      </c>
      <c r="S20" s="1">
        <v>76950</v>
      </c>
      <c r="T20" s="1">
        <v>117600</v>
      </c>
      <c r="U20" s="6" t="s">
        <v>103</v>
      </c>
      <c r="Y20" t="s">
        <v>173</v>
      </c>
      <c r="Z20">
        <f>'Buiten Zoekblad'!H13</f>
        <v>20</v>
      </c>
      <c r="AA20" t="s">
        <v>141</v>
      </c>
      <c r="AC20" t="s">
        <v>173</v>
      </c>
      <c r="AD20">
        <f>'Buiten Zoekblad'!G29</f>
        <v>20</v>
      </c>
      <c r="AE20" t="s">
        <v>141</v>
      </c>
    </row>
    <row r="21" spans="1:33" x14ac:dyDescent="0.25">
      <c r="A21" s="5" t="s">
        <v>66</v>
      </c>
      <c r="B21" s="1">
        <v>140</v>
      </c>
      <c r="C21" s="1">
        <v>126</v>
      </c>
      <c r="D21" s="1">
        <v>12.5</v>
      </c>
      <c r="E21" s="1">
        <v>21</v>
      </c>
      <c r="F21" s="1">
        <v>12</v>
      </c>
      <c r="G21" s="1">
        <v>6640</v>
      </c>
      <c r="H21" s="1">
        <v>52.1</v>
      </c>
      <c r="I21" s="1">
        <v>98</v>
      </c>
      <c r="J21" s="1">
        <v>74</v>
      </c>
      <c r="K21" s="1" t="s">
        <v>18</v>
      </c>
      <c r="L21" s="1">
        <v>66</v>
      </c>
      <c r="M21" s="1">
        <v>74</v>
      </c>
      <c r="N21" s="1">
        <v>0.73799999999999999</v>
      </c>
      <c r="O21" s="1">
        <v>20180000</v>
      </c>
      <c r="P21" s="1">
        <v>288200</v>
      </c>
      <c r="Q21" s="1">
        <v>350600</v>
      </c>
      <c r="R21" s="1">
        <v>7028000</v>
      </c>
      <c r="S21" s="1">
        <v>111600</v>
      </c>
      <c r="T21" s="1">
        <v>171600</v>
      </c>
      <c r="U21" s="6" t="s">
        <v>103</v>
      </c>
      <c r="Y21" t="s">
        <v>209</v>
      </c>
      <c r="Z21">
        <f>Z20*Z19*Z18</f>
        <v>13312</v>
      </c>
      <c r="AA21" t="s">
        <v>210</v>
      </c>
      <c r="AC21" t="s">
        <v>209</v>
      </c>
      <c r="AD21">
        <f>AD20*AD19*AD18</f>
        <v>16740</v>
      </c>
      <c r="AE21" t="s">
        <v>210</v>
      </c>
    </row>
    <row r="22" spans="1:33" x14ac:dyDescent="0.25">
      <c r="A22" s="5" t="s">
        <v>36</v>
      </c>
      <c r="B22" s="1">
        <v>171</v>
      </c>
      <c r="C22" s="1">
        <v>180</v>
      </c>
      <c r="D22" s="1">
        <v>6</v>
      </c>
      <c r="E22" s="1">
        <v>9.5</v>
      </c>
      <c r="F22" s="1">
        <v>15</v>
      </c>
      <c r="G22" s="1">
        <v>4530</v>
      </c>
      <c r="H22" s="1">
        <v>35.5</v>
      </c>
      <c r="I22" s="1">
        <v>152</v>
      </c>
      <c r="J22" s="1">
        <v>122</v>
      </c>
      <c r="K22" s="1" t="s">
        <v>21</v>
      </c>
      <c r="L22" s="1">
        <v>86</v>
      </c>
      <c r="M22" s="1">
        <v>92</v>
      </c>
      <c r="N22" s="1">
        <v>1024</v>
      </c>
      <c r="O22" s="1">
        <v>25100000</v>
      </c>
      <c r="P22" s="1">
        <v>293600</v>
      </c>
      <c r="Q22" s="1">
        <v>324900</v>
      </c>
      <c r="R22" s="1">
        <v>9246000</v>
      </c>
      <c r="S22" s="1">
        <v>102700</v>
      </c>
      <c r="T22" s="1">
        <v>156500</v>
      </c>
      <c r="U22" s="6" t="s">
        <v>103</v>
      </c>
      <c r="Y22" t="s">
        <v>204</v>
      </c>
      <c r="Z22" s="15">
        <v>1.88</v>
      </c>
      <c r="AA22" t="s">
        <v>202</v>
      </c>
      <c r="AC22" t="s">
        <v>204</v>
      </c>
      <c r="AD22" s="15">
        <v>0.25</v>
      </c>
      <c r="AE22" t="s">
        <v>202</v>
      </c>
      <c r="AF22" t="s">
        <v>342</v>
      </c>
    </row>
    <row r="23" spans="1:33" x14ac:dyDescent="0.25">
      <c r="A23" s="5" t="s">
        <v>51</v>
      </c>
      <c r="B23" s="1">
        <v>160</v>
      </c>
      <c r="C23" s="1">
        <v>160</v>
      </c>
      <c r="D23" s="1">
        <v>8</v>
      </c>
      <c r="E23" s="1">
        <v>13</v>
      </c>
      <c r="F23" s="1">
        <v>15</v>
      </c>
      <c r="G23" s="1">
        <v>5430</v>
      </c>
      <c r="H23" s="1">
        <v>42.6</v>
      </c>
      <c r="I23" s="1">
        <v>134</v>
      </c>
      <c r="J23" s="1">
        <v>104</v>
      </c>
      <c r="K23" s="1" t="s">
        <v>20</v>
      </c>
      <c r="L23" s="1">
        <v>80</v>
      </c>
      <c r="M23" s="1">
        <v>84</v>
      </c>
      <c r="N23" s="1">
        <v>0.91800000000000004</v>
      </c>
      <c r="O23" s="1">
        <v>24920000</v>
      </c>
      <c r="P23" s="1">
        <v>311500</v>
      </c>
      <c r="Q23" s="1">
        <v>354000</v>
      </c>
      <c r="R23" s="1">
        <v>8892000</v>
      </c>
      <c r="S23" s="1">
        <v>111200</v>
      </c>
      <c r="T23" s="1">
        <v>170000</v>
      </c>
      <c r="U23" s="6" t="s">
        <v>103</v>
      </c>
      <c r="Y23" t="s">
        <v>199</v>
      </c>
      <c r="Z23" s="16">
        <f>Z22*Z21</f>
        <v>25026.559999999998</v>
      </c>
      <c r="AA23" t="s">
        <v>207</v>
      </c>
      <c r="AC23" t="s">
        <v>199</v>
      </c>
      <c r="AD23" s="16">
        <f>AD22*AD21</f>
        <v>4185</v>
      </c>
      <c r="AE23" t="s">
        <v>207</v>
      </c>
    </row>
    <row r="24" spans="1:33" x14ac:dyDescent="0.25">
      <c r="A24" s="5" t="s">
        <v>37</v>
      </c>
      <c r="B24" s="1">
        <v>190</v>
      </c>
      <c r="C24" s="1">
        <v>200</v>
      </c>
      <c r="D24" s="1">
        <v>6.5</v>
      </c>
      <c r="E24" s="1">
        <v>10</v>
      </c>
      <c r="F24" s="1">
        <v>18</v>
      </c>
      <c r="G24" s="1">
        <v>5380</v>
      </c>
      <c r="H24" s="1">
        <v>42.3</v>
      </c>
      <c r="I24" s="1">
        <v>170</v>
      </c>
      <c r="J24" s="1">
        <v>134</v>
      </c>
      <c r="K24" s="1" t="s">
        <v>22</v>
      </c>
      <c r="L24" s="1">
        <v>98</v>
      </c>
      <c r="M24" s="1">
        <v>100</v>
      </c>
      <c r="N24" s="1">
        <v>1136</v>
      </c>
      <c r="O24" s="1">
        <v>36920000</v>
      </c>
      <c r="P24" s="1">
        <v>388600</v>
      </c>
      <c r="Q24" s="1">
        <v>429500</v>
      </c>
      <c r="R24" s="1">
        <v>13360000</v>
      </c>
      <c r="S24" s="1">
        <v>133600</v>
      </c>
      <c r="T24" s="1">
        <v>203800</v>
      </c>
      <c r="U24" s="6" t="s">
        <v>103</v>
      </c>
      <c r="Y24" s="200" t="s">
        <v>216</v>
      </c>
      <c r="Z24" s="200"/>
      <c r="AA24" s="200"/>
      <c r="AB24" s="200"/>
      <c r="AC24" s="200"/>
      <c r="AD24" s="200"/>
      <c r="AE24" s="200"/>
    </row>
    <row r="25" spans="1:33" x14ac:dyDescent="0.25">
      <c r="A25" s="5" t="s">
        <v>67</v>
      </c>
      <c r="B25" s="1">
        <v>160</v>
      </c>
      <c r="C25" s="1">
        <v>146</v>
      </c>
      <c r="D25" s="1">
        <v>13</v>
      </c>
      <c r="E25" s="1">
        <v>22</v>
      </c>
      <c r="F25" s="1">
        <v>12</v>
      </c>
      <c r="G25" s="1">
        <v>8060</v>
      </c>
      <c r="H25" s="1">
        <v>63.2</v>
      </c>
      <c r="I25" s="1">
        <v>116</v>
      </c>
      <c r="J25" s="1">
        <v>92</v>
      </c>
      <c r="K25" s="1" t="s">
        <v>19</v>
      </c>
      <c r="L25" s="1">
        <v>72</v>
      </c>
      <c r="M25" s="1">
        <v>82</v>
      </c>
      <c r="N25" s="1">
        <v>0.85699999999999998</v>
      </c>
      <c r="O25" s="1">
        <v>32910000</v>
      </c>
      <c r="P25" s="1">
        <v>411400</v>
      </c>
      <c r="Q25" s="1">
        <v>493800</v>
      </c>
      <c r="R25" s="1">
        <v>11440000</v>
      </c>
      <c r="S25" s="1">
        <v>156800</v>
      </c>
      <c r="T25" s="1">
        <v>240500</v>
      </c>
      <c r="U25" s="6" t="s">
        <v>103</v>
      </c>
      <c r="Y25" s="200" t="s">
        <v>214</v>
      </c>
      <c r="Z25" s="200"/>
      <c r="AA25" s="200"/>
      <c r="AC25" s="200" t="s">
        <v>214</v>
      </c>
      <c r="AD25" s="200"/>
      <c r="AE25" s="200"/>
    </row>
    <row r="26" spans="1:33" x14ac:dyDescent="0.25">
      <c r="A26" s="5" t="s">
        <v>52</v>
      </c>
      <c r="B26" s="1">
        <v>180</v>
      </c>
      <c r="C26" s="1">
        <v>180</v>
      </c>
      <c r="D26" s="1">
        <v>8.5</v>
      </c>
      <c r="E26" s="1">
        <v>14</v>
      </c>
      <c r="F26" s="1">
        <v>15</v>
      </c>
      <c r="G26" s="1">
        <v>6530</v>
      </c>
      <c r="H26" s="1">
        <v>51.2</v>
      </c>
      <c r="I26" s="1">
        <v>152</v>
      </c>
      <c r="J26" s="1">
        <v>122</v>
      </c>
      <c r="K26" s="1" t="s">
        <v>21</v>
      </c>
      <c r="L26" s="1">
        <v>88</v>
      </c>
      <c r="M26" s="1">
        <v>92</v>
      </c>
      <c r="N26" s="1">
        <v>1037</v>
      </c>
      <c r="O26" s="1">
        <v>38310000</v>
      </c>
      <c r="P26" s="1">
        <v>425700</v>
      </c>
      <c r="Q26" s="1">
        <v>481400</v>
      </c>
      <c r="R26" s="1">
        <v>13630000</v>
      </c>
      <c r="S26" s="1">
        <v>151400</v>
      </c>
      <c r="T26" s="1">
        <v>231000</v>
      </c>
      <c r="U26" s="6" t="s">
        <v>103</v>
      </c>
      <c r="Y26" t="s">
        <v>200</v>
      </c>
      <c r="Z26" s="15">
        <v>500</v>
      </c>
      <c r="AA26" t="s">
        <v>201</v>
      </c>
      <c r="AC26" t="s">
        <v>200</v>
      </c>
      <c r="AD26" s="15">
        <v>150</v>
      </c>
      <c r="AE26" t="s">
        <v>201</v>
      </c>
    </row>
    <row r="27" spans="1:33" x14ac:dyDescent="0.25">
      <c r="A27" s="5" t="s">
        <v>38</v>
      </c>
      <c r="B27" s="1">
        <v>210</v>
      </c>
      <c r="C27" s="1">
        <v>220</v>
      </c>
      <c r="D27" s="1">
        <v>7</v>
      </c>
      <c r="E27" s="1">
        <v>11</v>
      </c>
      <c r="F27" s="1">
        <v>18</v>
      </c>
      <c r="G27" s="1">
        <v>6430</v>
      </c>
      <c r="H27" s="1">
        <v>50.5</v>
      </c>
      <c r="I27" s="1">
        <v>188</v>
      </c>
      <c r="J27" s="1">
        <v>152</v>
      </c>
      <c r="K27" s="1" t="s">
        <v>22</v>
      </c>
      <c r="L27" s="1">
        <v>98</v>
      </c>
      <c r="M27" s="1">
        <v>118</v>
      </c>
      <c r="N27" s="1">
        <v>1255</v>
      </c>
      <c r="O27" s="1">
        <v>54100000</v>
      </c>
      <c r="P27" s="1">
        <v>515200.00000000006</v>
      </c>
      <c r="Q27" s="1">
        <v>568500</v>
      </c>
      <c r="R27" s="1">
        <v>19550000</v>
      </c>
      <c r="S27" s="1">
        <v>177700</v>
      </c>
      <c r="T27" s="1">
        <v>270600</v>
      </c>
      <c r="U27" s="6" t="s">
        <v>103</v>
      </c>
      <c r="Y27" t="s">
        <v>203</v>
      </c>
      <c r="Z27" s="15">
        <f>Z21/1000</f>
        <v>13.311999999999999</v>
      </c>
      <c r="AA27" t="s">
        <v>206</v>
      </c>
      <c r="AC27" t="s">
        <v>203</v>
      </c>
      <c r="AD27" s="15">
        <f>AD21/1000</f>
        <v>16.739999999999998</v>
      </c>
      <c r="AE27" t="s">
        <v>206</v>
      </c>
    </row>
    <row r="28" spans="1:33" x14ac:dyDescent="0.25">
      <c r="A28" s="5" t="s">
        <v>68</v>
      </c>
      <c r="B28" s="1">
        <v>180</v>
      </c>
      <c r="C28" s="1">
        <v>166</v>
      </c>
      <c r="D28" s="1">
        <v>14</v>
      </c>
      <c r="E28" s="1">
        <v>23</v>
      </c>
      <c r="F28" s="1">
        <v>15</v>
      </c>
      <c r="G28" s="1">
        <v>9710</v>
      </c>
      <c r="H28" s="1">
        <v>76.2</v>
      </c>
      <c r="I28" s="1">
        <v>134</v>
      </c>
      <c r="J28" s="1">
        <v>104</v>
      </c>
      <c r="K28" s="1" t="s">
        <v>20</v>
      </c>
      <c r="L28" s="1">
        <v>86</v>
      </c>
      <c r="M28" s="1">
        <v>90</v>
      </c>
      <c r="N28" s="1">
        <v>0.97</v>
      </c>
      <c r="O28" s="1">
        <v>50980000</v>
      </c>
      <c r="P28" s="1">
        <v>566500</v>
      </c>
      <c r="Q28" s="1">
        <v>674600</v>
      </c>
      <c r="R28" s="1">
        <v>17590000</v>
      </c>
      <c r="S28" s="1">
        <v>211900</v>
      </c>
      <c r="T28" s="1">
        <v>325500</v>
      </c>
      <c r="U28" s="6" t="s">
        <v>103</v>
      </c>
      <c r="Y28" t="s">
        <v>204</v>
      </c>
      <c r="Z28" s="15">
        <v>8.7999999999999995E-2</v>
      </c>
      <c r="AA28" t="s">
        <v>205</v>
      </c>
      <c r="AC28" t="s">
        <v>204</v>
      </c>
      <c r="AD28" s="15">
        <v>8.7999999999999995E-2</v>
      </c>
      <c r="AE28" t="s">
        <v>205</v>
      </c>
    </row>
    <row r="29" spans="1:33" x14ac:dyDescent="0.25">
      <c r="A29" s="5" t="s">
        <v>53</v>
      </c>
      <c r="B29" s="1">
        <v>200</v>
      </c>
      <c r="C29" s="1">
        <v>200</v>
      </c>
      <c r="D29" s="1">
        <v>9</v>
      </c>
      <c r="E29" s="1">
        <v>15</v>
      </c>
      <c r="F29" s="1">
        <v>18</v>
      </c>
      <c r="G29" s="1">
        <v>7810</v>
      </c>
      <c r="H29" s="1">
        <v>61.3</v>
      </c>
      <c r="I29" s="1">
        <v>170</v>
      </c>
      <c r="J29" s="1">
        <v>134</v>
      </c>
      <c r="K29" s="1" t="s">
        <v>22</v>
      </c>
      <c r="L29" s="1">
        <v>100</v>
      </c>
      <c r="M29" s="1">
        <v>100</v>
      </c>
      <c r="N29" s="1">
        <v>1151</v>
      </c>
      <c r="O29" s="1">
        <v>56960000</v>
      </c>
      <c r="P29" s="1">
        <v>569600</v>
      </c>
      <c r="Q29" s="1">
        <v>642500</v>
      </c>
      <c r="R29" s="1">
        <v>20030000</v>
      </c>
      <c r="S29" s="1">
        <v>200300</v>
      </c>
      <c r="T29" s="1">
        <v>305800</v>
      </c>
      <c r="U29" s="6" t="s">
        <v>103</v>
      </c>
      <c r="Y29" t="s">
        <v>199</v>
      </c>
      <c r="Z29" s="2">
        <f>Z21/(Z27*1000)*Z26*Z28</f>
        <v>44</v>
      </c>
      <c r="AA29" t="s">
        <v>207</v>
      </c>
      <c r="AC29" t="s">
        <v>199</v>
      </c>
      <c r="AD29" s="2">
        <f>AD21/(AD27*1000)*AD26*AD28</f>
        <v>13.2</v>
      </c>
      <c r="AE29" t="s">
        <v>207</v>
      </c>
    </row>
    <row r="30" spans="1:33" x14ac:dyDescent="0.25">
      <c r="A30" s="5" t="s">
        <v>39</v>
      </c>
      <c r="B30" s="1">
        <v>230</v>
      </c>
      <c r="C30" s="1">
        <v>240</v>
      </c>
      <c r="D30" s="1">
        <v>7.5</v>
      </c>
      <c r="E30" s="1">
        <v>12</v>
      </c>
      <c r="F30" s="1">
        <v>21</v>
      </c>
      <c r="G30" s="1">
        <v>7680</v>
      </c>
      <c r="H30" s="1">
        <v>60.3</v>
      </c>
      <c r="I30" s="1">
        <v>206</v>
      </c>
      <c r="J30" s="1">
        <v>164</v>
      </c>
      <c r="K30" s="1" t="s">
        <v>22</v>
      </c>
      <c r="L30" s="1">
        <v>104</v>
      </c>
      <c r="M30" s="1">
        <v>138</v>
      </c>
      <c r="N30" s="1">
        <v>1369</v>
      </c>
      <c r="O30" s="1">
        <v>77630000</v>
      </c>
      <c r="P30" s="1">
        <v>675100</v>
      </c>
      <c r="Q30" s="1">
        <v>744600</v>
      </c>
      <c r="R30" s="1">
        <v>27690000</v>
      </c>
      <c r="S30" s="1">
        <v>230700</v>
      </c>
      <c r="T30" s="1">
        <v>351700</v>
      </c>
      <c r="U30" s="6" t="s">
        <v>103</v>
      </c>
      <c r="AF30" t="s">
        <v>315</v>
      </c>
    </row>
    <row r="31" spans="1:33" x14ac:dyDescent="0.25">
      <c r="A31" s="5" t="s">
        <v>54</v>
      </c>
      <c r="B31" s="1">
        <v>220</v>
      </c>
      <c r="C31" s="1">
        <v>220</v>
      </c>
      <c r="D31" s="1">
        <v>9.5</v>
      </c>
      <c r="E31" s="1">
        <v>16</v>
      </c>
      <c r="F31" s="1">
        <v>18</v>
      </c>
      <c r="G31" s="1">
        <v>9100</v>
      </c>
      <c r="H31" s="1">
        <v>71.5</v>
      </c>
      <c r="I31" s="1">
        <v>188</v>
      </c>
      <c r="J31" s="1">
        <v>152</v>
      </c>
      <c r="K31" s="1" t="s">
        <v>22</v>
      </c>
      <c r="L31" s="1">
        <v>100</v>
      </c>
      <c r="M31" s="1">
        <v>118</v>
      </c>
      <c r="N31" s="1">
        <v>1270</v>
      </c>
      <c r="O31" s="1">
        <v>80910000</v>
      </c>
      <c r="P31" s="1">
        <v>735500</v>
      </c>
      <c r="Q31" s="1">
        <v>827000</v>
      </c>
      <c r="R31" s="1">
        <v>28430000</v>
      </c>
      <c r="S31" s="1">
        <v>258500</v>
      </c>
      <c r="T31" s="1">
        <v>393900</v>
      </c>
      <c r="U31" s="6" t="s">
        <v>103</v>
      </c>
      <c r="Y31" t="s">
        <v>211</v>
      </c>
      <c r="Z31" s="16">
        <f>Z29+Z23</f>
        <v>25070.559999999998</v>
      </c>
      <c r="AA31" t="s">
        <v>210</v>
      </c>
      <c r="AC31" t="s">
        <v>211</v>
      </c>
      <c r="AD31" s="16">
        <f>AD29+AD23</f>
        <v>4198.2</v>
      </c>
      <c r="AE31" t="s">
        <v>210</v>
      </c>
      <c r="AF31" s="2">
        <f>Z31-AD31</f>
        <v>20872.359999999997</v>
      </c>
      <c r="AG31" t="s">
        <v>210</v>
      </c>
    </row>
    <row r="32" spans="1:33" x14ac:dyDescent="0.25">
      <c r="A32" s="5" t="s">
        <v>69</v>
      </c>
      <c r="B32" s="1">
        <v>200</v>
      </c>
      <c r="C32" s="1">
        <v>186</v>
      </c>
      <c r="D32" s="1">
        <v>14.5</v>
      </c>
      <c r="E32" s="1">
        <v>24</v>
      </c>
      <c r="F32" s="1">
        <v>15</v>
      </c>
      <c r="G32" s="1">
        <v>11330</v>
      </c>
      <c r="H32" s="1">
        <v>88.9</v>
      </c>
      <c r="I32" s="1">
        <v>152</v>
      </c>
      <c r="J32" s="1">
        <v>122</v>
      </c>
      <c r="K32" s="1" t="s">
        <v>21</v>
      </c>
      <c r="L32" s="1">
        <v>94</v>
      </c>
      <c r="M32" s="1">
        <v>98</v>
      </c>
      <c r="N32" s="1">
        <v>1089</v>
      </c>
      <c r="O32" s="1">
        <v>74830000</v>
      </c>
      <c r="P32" s="1">
        <v>748300</v>
      </c>
      <c r="Q32" s="1">
        <v>883400</v>
      </c>
      <c r="R32" s="1">
        <v>25800000</v>
      </c>
      <c r="S32" s="1">
        <v>277400</v>
      </c>
      <c r="T32" s="1">
        <v>425200</v>
      </c>
      <c r="U32" s="6" t="s">
        <v>103</v>
      </c>
    </row>
    <row r="33" spans="1:35" x14ac:dyDescent="0.25">
      <c r="A33" s="5" t="s">
        <v>40</v>
      </c>
      <c r="B33" s="1">
        <v>250</v>
      </c>
      <c r="C33" s="1">
        <v>260</v>
      </c>
      <c r="D33" s="1">
        <v>7.5</v>
      </c>
      <c r="E33" s="1">
        <v>12.5</v>
      </c>
      <c r="F33" s="1">
        <v>24</v>
      </c>
      <c r="G33" s="1">
        <v>8680</v>
      </c>
      <c r="H33" s="1">
        <v>68.2</v>
      </c>
      <c r="I33" s="1">
        <v>225</v>
      </c>
      <c r="J33" s="1">
        <v>177</v>
      </c>
      <c r="K33" s="1" t="s">
        <v>22</v>
      </c>
      <c r="L33" s="1">
        <v>110</v>
      </c>
      <c r="M33" s="1">
        <v>158</v>
      </c>
      <c r="N33" s="1">
        <v>1484</v>
      </c>
      <c r="O33" s="1">
        <v>104500000</v>
      </c>
      <c r="P33" s="1">
        <v>836400</v>
      </c>
      <c r="Q33" s="1">
        <v>919800</v>
      </c>
      <c r="R33" s="1">
        <v>36680000</v>
      </c>
      <c r="S33" s="1">
        <v>282100</v>
      </c>
      <c r="T33" s="1">
        <v>430200</v>
      </c>
      <c r="U33" s="6" t="s">
        <v>103</v>
      </c>
      <c r="Y33" s="200" t="s">
        <v>341</v>
      </c>
      <c r="Z33" s="200"/>
      <c r="AA33" s="200"/>
      <c r="AC33" s="200" t="s">
        <v>341</v>
      </c>
      <c r="AD33" s="200"/>
      <c r="AE33" s="200"/>
      <c r="AH33" t="s">
        <v>343</v>
      </c>
    </row>
    <row r="34" spans="1:35" x14ac:dyDescent="0.25">
      <c r="A34" s="5" t="s">
        <v>55</v>
      </c>
      <c r="B34" s="1">
        <v>240</v>
      </c>
      <c r="C34" s="1">
        <v>240</v>
      </c>
      <c r="D34" s="1">
        <v>10</v>
      </c>
      <c r="E34" s="1">
        <v>17</v>
      </c>
      <c r="F34" s="1">
        <v>21</v>
      </c>
      <c r="G34" s="1">
        <v>10600</v>
      </c>
      <c r="H34" s="1">
        <v>83.2</v>
      </c>
      <c r="I34" s="1">
        <v>206</v>
      </c>
      <c r="J34" s="1">
        <v>164</v>
      </c>
      <c r="K34" s="1" t="s">
        <v>22</v>
      </c>
      <c r="L34" s="1">
        <v>108</v>
      </c>
      <c r="M34" s="1">
        <v>138</v>
      </c>
      <c r="N34" s="1">
        <v>1384</v>
      </c>
      <c r="O34" s="1">
        <v>112600000</v>
      </c>
      <c r="P34" s="1">
        <v>938300</v>
      </c>
      <c r="Q34" s="1">
        <v>1053000</v>
      </c>
      <c r="R34" s="1">
        <v>39230000</v>
      </c>
      <c r="S34" s="1">
        <v>326900</v>
      </c>
      <c r="T34" s="1">
        <v>498400</v>
      </c>
      <c r="U34" s="6" t="s">
        <v>103</v>
      </c>
      <c r="Y34" t="s">
        <v>199</v>
      </c>
      <c r="Z34" s="18">
        <v>0.28999999999999998</v>
      </c>
      <c r="AA34" s="17" t="s">
        <v>340</v>
      </c>
      <c r="AC34" t="s">
        <v>199</v>
      </c>
      <c r="AD34" s="18">
        <v>0.06</v>
      </c>
      <c r="AE34" s="17" t="s">
        <v>340</v>
      </c>
      <c r="AG34" t="s">
        <v>199</v>
      </c>
      <c r="AH34" s="18">
        <v>0.62</v>
      </c>
      <c r="AI34" s="17" t="s">
        <v>362</v>
      </c>
    </row>
    <row r="35" spans="1:35" x14ac:dyDescent="0.25">
      <c r="A35" s="5" t="s">
        <v>70</v>
      </c>
      <c r="B35" s="1">
        <v>220</v>
      </c>
      <c r="C35" s="1">
        <v>206</v>
      </c>
      <c r="D35" s="1">
        <v>15</v>
      </c>
      <c r="E35" s="1">
        <v>25</v>
      </c>
      <c r="F35" s="1">
        <v>18</v>
      </c>
      <c r="G35" s="1">
        <v>13130</v>
      </c>
      <c r="H35" s="1">
        <v>103</v>
      </c>
      <c r="I35" s="1">
        <v>170</v>
      </c>
      <c r="J35" s="1">
        <v>134</v>
      </c>
      <c r="K35" s="1" t="s">
        <v>22</v>
      </c>
      <c r="L35" s="1">
        <v>106</v>
      </c>
      <c r="M35" s="1">
        <v>106</v>
      </c>
      <c r="N35" s="1">
        <v>1203</v>
      </c>
      <c r="O35" s="1">
        <v>106400000</v>
      </c>
      <c r="P35" s="1">
        <v>967400</v>
      </c>
      <c r="Q35" s="1">
        <v>1135000</v>
      </c>
      <c r="R35" s="1">
        <v>36510000</v>
      </c>
      <c r="S35" s="1">
        <v>354500</v>
      </c>
      <c r="T35" s="1">
        <v>543200</v>
      </c>
      <c r="U35" s="6" t="s">
        <v>103</v>
      </c>
      <c r="AH35" s="19" t="s">
        <v>357</v>
      </c>
    </row>
    <row r="36" spans="1:35" x14ac:dyDescent="0.25">
      <c r="A36" s="5" t="s">
        <v>41</v>
      </c>
      <c r="B36" s="1">
        <v>270</v>
      </c>
      <c r="C36" s="1">
        <v>280</v>
      </c>
      <c r="D36" s="1">
        <v>8</v>
      </c>
      <c r="E36" s="1">
        <v>13</v>
      </c>
      <c r="F36" s="1">
        <v>24</v>
      </c>
      <c r="G36" s="1">
        <v>9730</v>
      </c>
      <c r="H36" s="1">
        <v>76.400000000000006</v>
      </c>
      <c r="I36" s="1">
        <v>244</v>
      </c>
      <c r="J36" s="1">
        <v>196</v>
      </c>
      <c r="K36" s="1" t="s">
        <v>22</v>
      </c>
      <c r="L36" s="1">
        <v>112</v>
      </c>
      <c r="M36" s="1">
        <v>178</v>
      </c>
      <c r="N36" s="1">
        <v>1603</v>
      </c>
      <c r="O36" s="1">
        <v>136700000</v>
      </c>
      <c r="P36" s="1">
        <v>1013000</v>
      </c>
      <c r="Q36" s="1">
        <v>1112000</v>
      </c>
      <c r="R36" s="1">
        <v>47630000</v>
      </c>
      <c r="S36" s="1">
        <v>340200</v>
      </c>
      <c r="T36" s="1">
        <v>518100</v>
      </c>
      <c r="U36" s="6" t="s">
        <v>103</v>
      </c>
      <c r="Y36" t="s">
        <v>199</v>
      </c>
      <c r="Z36" s="20">
        <f>Z34*Z18</f>
        <v>24.128</v>
      </c>
      <c r="AA36" s="17" t="s">
        <v>344</v>
      </c>
      <c r="AC36" t="s">
        <v>199</v>
      </c>
      <c r="AD36" s="20">
        <f>AD34*AD18</f>
        <v>5.58</v>
      </c>
      <c r="AE36" s="17" t="s">
        <v>344</v>
      </c>
      <c r="AG36" t="s">
        <v>361</v>
      </c>
      <c r="AH36" s="20">
        <f>AH34*AD21/1000</f>
        <v>10.3788</v>
      </c>
      <c r="AI36" s="17"/>
    </row>
    <row r="37" spans="1:35" x14ac:dyDescent="0.25">
      <c r="A37" s="5" t="s">
        <v>56</v>
      </c>
      <c r="B37" s="1">
        <v>260</v>
      </c>
      <c r="C37" s="1">
        <v>260</v>
      </c>
      <c r="D37" s="1">
        <v>10</v>
      </c>
      <c r="E37" s="1">
        <v>17.5</v>
      </c>
      <c r="F37" s="1">
        <v>24</v>
      </c>
      <c r="G37" s="1">
        <v>11840</v>
      </c>
      <c r="H37" s="1">
        <v>93</v>
      </c>
      <c r="I37" s="1">
        <v>225</v>
      </c>
      <c r="J37" s="1">
        <v>177</v>
      </c>
      <c r="K37" s="1" t="s">
        <v>22</v>
      </c>
      <c r="L37" s="1">
        <v>114</v>
      </c>
      <c r="M37" s="1">
        <v>158</v>
      </c>
      <c r="N37" s="1">
        <v>1499</v>
      </c>
      <c r="O37" s="1">
        <v>149200000</v>
      </c>
      <c r="P37" s="1">
        <v>1148000</v>
      </c>
      <c r="Q37" s="1">
        <v>1283000</v>
      </c>
      <c r="R37" s="1">
        <v>51350000</v>
      </c>
      <c r="S37" s="1">
        <v>395000</v>
      </c>
      <c r="T37" s="1">
        <v>602200</v>
      </c>
      <c r="U37" s="6" t="s">
        <v>103</v>
      </c>
      <c r="Z37" s="19" t="s">
        <v>356</v>
      </c>
      <c r="AD37" s="19" t="s">
        <v>355</v>
      </c>
      <c r="AF37" s="19"/>
    </row>
    <row r="38" spans="1:35" x14ac:dyDescent="0.25">
      <c r="A38" s="5" t="s">
        <v>71</v>
      </c>
      <c r="B38" s="1">
        <v>240</v>
      </c>
      <c r="C38" s="1">
        <v>226</v>
      </c>
      <c r="D38" s="1">
        <v>15.5</v>
      </c>
      <c r="E38" s="1">
        <v>26</v>
      </c>
      <c r="F38" s="1">
        <v>18</v>
      </c>
      <c r="G38" s="1">
        <v>14940</v>
      </c>
      <c r="H38" s="1">
        <v>117</v>
      </c>
      <c r="I38" s="1">
        <v>188</v>
      </c>
      <c r="J38" s="1">
        <v>152</v>
      </c>
      <c r="K38" s="1" t="s">
        <v>22</v>
      </c>
      <c r="L38" s="1">
        <v>108</v>
      </c>
      <c r="M38" s="1">
        <v>124</v>
      </c>
      <c r="N38" s="1">
        <v>1322</v>
      </c>
      <c r="O38" s="1">
        <v>146000000</v>
      </c>
      <c r="P38" s="1">
        <v>1217000</v>
      </c>
      <c r="Q38" s="1">
        <v>1419000</v>
      </c>
      <c r="R38" s="1">
        <v>50120000</v>
      </c>
      <c r="S38" s="1">
        <v>443500</v>
      </c>
      <c r="T38" s="1">
        <v>678600</v>
      </c>
      <c r="U38" s="6" t="s">
        <v>103</v>
      </c>
    </row>
    <row r="39" spans="1:35" x14ac:dyDescent="0.25">
      <c r="A39" s="5" t="s">
        <v>42</v>
      </c>
      <c r="B39" s="1">
        <v>290</v>
      </c>
      <c r="C39" s="1">
        <v>300</v>
      </c>
      <c r="D39" s="1">
        <v>8.5</v>
      </c>
      <c r="E39" s="1">
        <v>14</v>
      </c>
      <c r="F39" s="1">
        <v>27</v>
      </c>
      <c r="G39" s="1">
        <v>11250</v>
      </c>
      <c r="H39" s="1">
        <v>88.3</v>
      </c>
      <c r="I39" s="1">
        <v>262</v>
      </c>
      <c r="J39" s="1">
        <v>208</v>
      </c>
      <c r="K39" s="1" t="s">
        <v>22</v>
      </c>
      <c r="L39" s="1">
        <v>118</v>
      </c>
      <c r="M39" s="1">
        <v>198</v>
      </c>
      <c r="N39" s="1">
        <v>1717</v>
      </c>
      <c r="O39" s="1">
        <v>182600000</v>
      </c>
      <c r="P39" s="1">
        <v>1260000</v>
      </c>
      <c r="Q39" s="1">
        <v>1383000</v>
      </c>
      <c r="R39" s="1">
        <v>63100000</v>
      </c>
      <c r="S39" s="1">
        <v>420600</v>
      </c>
      <c r="T39" s="1">
        <v>641200</v>
      </c>
      <c r="U39" s="6" t="s">
        <v>103</v>
      </c>
    </row>
    <row r="40" spans="1:35" x14ac:dyDescent="0.25">
      <c r="A40" s="5" t="s">
        <v>57</v>
      </c>
      <c r="B40" s="1">
        <v>280</v>
      </c>
      <c r="C40" s="1">
        <v>280</v>
      </c>
      <c r="D40" s="1">
        <v>10.5</v>
      </c>
      <c r="E40" s="1">
        <v>18</v>
      </c>
      <c r="F40" s="1">
        <v>24</v>
      </c>
      <c r="G40" s="1">
        <v>13140</v>
      </c>
      <c r="H40" s="1">
        <v>103</v>
      </c>
      <c r="I40" s="1">
        <v>244</v>
      </c>
      <c r="J40" s="1">
        <v>196</v>
      </c>
      <c r="K40" s="1" t="s">
        <v>22</v>
      </c>
      <c r="L40" s="1">
        <v>114</v>
      </c>
      <c r="M40" s="1">
        <v>178</v>
      </c>
      <c r="N40" s="1">
        <v>1618</v>
      </c>
      <c r="O40" s="1">
        <v>192700000</v>
      </c>
      <c r="P40" s="1">
        <v>1376000</v>
      </c>
      <c r="Q40" s="1">
        <v>1534000</v>
      </c>
      <c r="R40" s="1">
        <v>65950000</v>
      </c>
      <c r="S40" s="1">
        <v>471000</v>
      </c>
      <c r="T40" s="1">
        <v>717600</v>
      </c>
      <c r="U40" s="6" t="s">
        <v>103</v>
      </c>
    </row>
    <row r="41" spans="1:35" x14ac:dyDescent="0.25">
      <c r="A41" s="5" t="s">
        <v>43</v>
      </c>
      <c r="B41" s="1">
        <v>310</v>
      </c>
      <c r="C41" s="1">
        <v>300</v>
      </c>
      <c r="D41" s="1">
        <v>9</v>
      </c>
      <c r="E41" s="1">
        <v>15.5</v>
      </c>
      <c r="F41" s="1">
        <v>27</v>
      </c>
      <c r="G41" s="1">
        <v>12440</v>
      </c>
      <c r="H41" s="1">
        <v>97.6</v>
      </c>
      <c r="I41" s="1">
        <v>279</v>
      </c>
      <c r="J41" s="1">
        <v>225</v>
      </c>
      <c r="K41" s="1" t="s">
        <v>22</v>
      </c>
      <c r="L41" s="1">
        <v>118</v>
      </c>
      <c r="M41" s="1">
        <v>198</v>
      </c>
      <c r="N41" s="1">
        <v>1756</v>
      </c>
      <c r="O41" s="1">
        <v>229300000</v>
      </c>
      <c r="P41" s="1">
        <v>1479000</v>
      </c>
      <c r="Q41" s="1">
        <v>1628000</v>
      </c>
      <c r="R41" s="1">
        <v>69850000</v>
      </c>
      <c r="S41" s="1">
        <v>465700</v>
      </c>
      <c r="T41" s="1">
        <v>709700</v>
      </c>
      <c r="U41" s="6" t="s">
        <v>103</v>
      </c>
    </row>
    <row r="42" spans="1:35" x14ac:dyDescent="0.25">
      <c r="A42" s="5" t="s">
        <v>44</v>
      </c>
      <c r="B42" s="1">
        <v>330</v>
      </c>
      <c r="C42" s="1">
        <v>300</v>
      </c>
      <c r="D42" s="1">
        <v>9.5</v>
      </c>
      <c r="E42" s="1">
        <v>16.5</v>
      </c>
      <c r="F42" s="1">
        <v>27</v>
      </c>
      <c r="G42" s="1">
        <v>13350</v>
      </c>
      <c r="H42" s="1">
        <v>105</v>
      </c>
      <c r="I42" s="1">
        <v>297</v>
      </c>
      <c r="J42" s="1">
        <v>243</v>
      </c>
      <c r="K42" s="1" t="s">
        <v>22</v>
      </c>
      <c r="L42" s="1">
        <v>118</v>
      </c>
      <c r="M42" s="1">
        <v>198</v>
      </c>
      <c r="N42" s="1">
        <v>1795</v>
      </c>
      <c r="O42" s="1">
        <v>276900000</v>
      </c>
      <c r="P42" s="1">
        <v>1678000</v>
      </c>
      <c r="Q42" s="1">
        <v>1850000</v>
      </c>
      <c r="R42" s="1">
        <v>74360000</v>
      </c>
      <c r="S42" s="1">
        <v>495700</v>
      </c>
      <c r="T42" s="1">
        <v>755900</v>
      </c>
      <c r="U42" s="6" t="s">
        <v>103</v>
      </c>
    </row>
    <row r="43" spans="1:35" x14ac:dyDescent="0.25">
      <c r="A43" s="5" t="s">
        <v>58</v>
      </c>
      <c r="B43" s="1">
        <v>300</v>
      </c>
      <c r="C43" s="1">
        <v>300</v>
      </c>
      <c r="D43" s="1">
        <v>11</v>
      </c>
      <c r="E43" s="1">
        <v>19</v>
      </c>
      <c r="F43" s="1">
        <v>27</v>
      </c>
      <c r="G43" s="1">
        <v>14910</v>
      </c>
      <c r="H43" s="1">
        <v>117</v>
      </c>
      <c r="I43" s="1">
        <v>262</v>
      </c>
      <c r="J43" s="1">
        <v>208</v>
      </c>
      <c r="K43" s="1" t="s">
        <v>22</v>
      </c>
      <c r="L43" s="1">
        <v>120</v>
      </c>
      <c r="M43" s="1">
        <v>198</v>
      </c>
      <c r="N43" s="1">
        <v>1732</v>
      </c>
      <c r="O43" s="1">
        <v>251700000</v>
      </c>
      <c r="P43" s="1">
        <v>1678000</v>
      </c>
      <c r="Q43" s="1">
        <v>1869000</v>
      </c>
      <c r="R43" s="1">
        <v>85630000</v>
      </c>
      <c r="S43" s="1">
        <v>570900</v>
      </c>
      <c r="T43" s="1">
        <v>870100</v>
      </c>
      <c r="U43" s="6" t="s">
        <v>103</v>
      </c>
    </row>
    <row r="44" spans="1:35" x14ac:dyDescent="0.25">
      <c r="A44" s="5" t="s">
        <v>72</v>
      </c>
      <c r="B44" s="1">
        <v>270</v>
      </c>
      <c r="C44" s="1">
        <v>248</v>
      </c>
      <c r="D44" s="1">
        <v>18</v>
      </c>
      <c r="E44" s="1">
        <v>32</v>
      </c>
      <c r="F44" s="1">
        <v>21</v>
      </c>
      <c r="G44" s="1">
        <v>19960</v>
      </c>
      <c r="H44" s="1">
        <v>157</v>
      </c>
      <c r="I44" s="1">
        <v>206</v>
      </c>
      <c r="J44" s="1">
        <v>164</v>
      </c>
      <c r="K44" s="1" t="s">
        <v>22</v>
      </c>
      <c r="L44" s="1">
        <v>116</v>
      </c>
      <c r="M44" s="1">
        <v>146</v>
      </c>
      <c r="N44" s="1">
        <v>1460</v>
      </c>
      <c r="O44" s="1">
        <v>242900000</v>
      </c>
      <c r="P44" s="1">
        <v>1799000</v>
      </c>
      <c r="Q44" s="1">
        <v>2117000</v>
      </c>
      <c r="R44" s="1">
        <v>81530000</v>
      </c>
      <c r="S44" s="1">
        <v>657500</v>
      </c>
      <c r="T44" s="1">
        <v>1006000</v>
      </c>
      <c r="U44" s="6" t="s">
        <v>103</v>
      </c>
    </row>
    <row r="45" spans="1:35" x14ac:dyDescent="0.25">
      <c r="A45" s="5" t="s">
        <v>45</v>
      </c>
      <c r="B45" s="1">
        <v>350</v>
      </c>
      <c r="C45" s="1">
        <v>300</v>
      </c>
      <c r="D45" s="1">
        <v>10</v>
      </c>
      <c r="E45" s="1">
        <v>17.5</v>
      </c>
      <c r="F45" s="1">
        <v>27</v>
      </c>
      <c r="G45" s="1">
        <v>14280</v>
      </c>
      <c r="H45" s="1">
        <v>112</v>
      </c>
      <c r="I45" s="1">
        <v>315</v>
      </c>
      <c r="J45" s="1">
        <v>261</v>
      </c>
      <c r="K45" s="1" t="s">
        <v>22</v>
      </c>
      <c r="L45" s="1">
        <v>120</v>
      </c>
      <c r="M45" s="1">
        <v>198</v>
      </c>
      <c r="N45" s="1">
        <v>1834</v>
      </c>
      <c r="O45" s="1">
        <v>330900000</v>
      </c>
      <c r="P45" s="1">
        <v>1891000</v>
      </c>
      <c r="Q45" s="1">
        <v>2088000</v>
      </c>
      <c r="R45" s="1">
        <v>78870000</v>
      </c>
      <c r="S45" s="1">
        <v>525800</v>
      </c>
      <c r="T45" s="1">
        <v>802300</v>
      </c>
      <c r="U45" s="6" t="s">
        <v>103</v>
      </c>
    </row>
    <row r="46" spans="1:35" x14ac:dyDescent="0.25">
      <c r="A46" s="5" t="s">
        <v>59</v>
      </c>
      <c r="B46" s="1">
        <v>320</v>
      </c>
      <c r="C46" s="1">
        <v>300</v>
      </c>
      <c r="D46" s="1">
        <v>11.5</v>
      </c>
      <c r="E46" s="1">
        <v>20.5</v>
      </c>
      <c r="F46" s="1">
        <v>27</v>
      </c>
      <c r="G46" s="1">
        <v>16130</v>
      </c>
      <c r="H46" s="1">
        <v>127</v>
      </c>
      <c r="I46" s="1">
        <v>279</v>
      </c>
      <c r="J46" s="1">
        <v>225</v>
      </c>
      <c r="K46" s="1" t="s">
        <v>22</v>
      </c>
      <c r="L46" s="1">
        <v>122</v>
      </c>
      <c r="M46" s="1">
        <v>198</v>
      </c>
      <c r="N46" s="1">
        <v>1771</v>
      </c>
      <c r="O46" s="1">
        <v>308200000</v>
      </c>
      <c r="P46" s="1">
        <v>1926000</v>
      </c>
      <c r="Q46" s="1">
        <v>2149000</v>
      </c>
      <c r="R46" s="1">
        <v>92390000</v>
      </c>
      <c r="S46" s="1">
        <v>615900</v>
      </c>
      <c r="T46" s="1">
        <v>939100</v>
      </c>
      <c r="U46" s="6" t="s">
        <v>103</v>
      </c>
    </row>
    <row r="47" spans="1:35" x14ac:dyDescent="0.25">
      <c r="A47" s="5" t="s">
        <v>60</v>
      </c>
      <c r="B47" s="1">
        <v>340</v>
      </c>
      <c r="C47" s="1">
        <v>300</v>
      </c>
      <c r="D47" s="1">
        <v>12</v>
      </c>
      <c r="E47" s="1">
        <v>21.5</v>
      </c>
      <c r="F47" s="1">
        <v>27</v>
      </c>
      <c r="G47" s="1">
        <v>17090</v>
      </c>
      <c r="H47" s="1">
        <v>134</v>
      </c>
      <c r="I47" s="1">
        <v>297</v>
      </c>
      <c r="J47" s="1">
        <v>243</v>
      </c>
      <c r="K47" s="1" t="s">
        <v>22</v>
      </c>
      <c r="L47" s="1">
        <v>122</v>
      </c>
      <c r="M47" s="1">
        <v>198</v>
      </c>
      <c r="N47" s="1">
        <v>1810</v>
      </c>
      <c r="O47" s="1">
        <v>366600000</v>
      </c>
      <c r="P47" s="1">
        <v>2156000</v>
      </c>
      <c r="Q47" s="1">
        <v>2408000</v>
      </c>
      <c r="R47" s="1">
        <v>96900000</v>
      </c>
      <c r="S47" s="1">
        <v>646000</v>
      </c>
      <c r="T47" s="1">
        <v>985700</v>
      </c>
      <c r="U47" s="6" t="s">
        <v>103</v>
      </c>
    </row>
    <row r="48" spans="1:35" x14ac:dyDescent="0.25">
      <c r="A48" s="5" t="s">
        <v>73</v>
      </c>
      <c r="B48" s="1">
        <v>290</v>
      </c>
      <c r="C48" s="1">
        <v>268</v>
      </c>
      <c r="D48" s="1">
        <v>18</v>
      </c>
      <c r="E48" s="1">
        <v>32.5</v>
      </c>
      <c r="F48" s="1">
        <v>24</v>
      </c>
      <c r="G48" s="1">
        <v>21960</v>
      </c>
      <c r="H48" s="1">
        <v>172</v>
      </c>
      <c r="I48" s="1">
        <v>225</v>
      </c>
      <c r="J48" s="1">
        <v>177</v>
      </c>
      <c r="K48" s="1" t="s">
        <v>22</v>
      </c>
      <c r="L48" s="1">
        <v>122</v>
      </c>
      <c r="M48" s="1">
        <v>166</v>
      </c>
      <c r="N48" s="1">
        <v>1575</v>
      </c>
      <c r="O48" s="1">
        <v>313100000</v>
      </c>
      <c r="P48" s="1">
        <v>2159000</v>
      </c>
      <c r="Q48" s="1">
        <v>2524000</v>
      </c>
      <c r="R48" s="1">
        <v>104500000</v>
      </c>
      <c r="S48" s="1">
        <v>779700</v>
      </c>
      <c r="T48" s="1">
        <v>1192000</v>
      </c>
      <c r="U48" s="6" t="s">
        <v>103</v>
      </c>
    </row>
    <row r="49" spans="1:21" x14ac:dyDescent="0.25">
      <c r="A49" s="5" t="s">
        <v>46</v>
      </c>
      <c r="B49" s="1">
        <v>390</v>
      </c>
      <c r="C49" s="1">
        <v>300</v>
      </c>
      <c r="D49" s="1">
        <v>11</v>
      </c>
      <c r="E49" s="1">
        <v>19</v>
      </c>
      <c r="F49" s="1">
        <v>27</v>
      </c>
      <c r="G49" s="1">
        <v>15900</v>
      </c>
      <c r="H49" s="1">
        <v>125</v>
      </c>
      <c r="I49" s="1">
        <v>352</v>
      </c>
      <c r="J49" s="1">
        <v>298</v>
      </c>
      <c r="K49" s="1" t="s">
        <v>22</v>
      </c>
      <c r="L49" s="1">
        <v>120</v>
      </c>
      <c r="M49" s="1">
        <v>198</v>
      </c>
      <c r="N49" s="1">
        <v>1912</v>
      </c>
      <c r="O49" s="1">
        <v>450700000</v>
      </c>
      <c r="P49" s="1">
        <v>2311000</v>
      </c>
      <c r="Q49" s="1">
        <v>2562000</v>
      </c>
      <c r="R49" s="1">
        <v>85640000</v>
      </c>
      <c r="S49" s="1">
        <v>570900</v>
      </c>
      <c r="T49" s="1">
        <v>872900</v>
      </c>
      <c r="U49" s="6" t="s">
        <v>103</v>
      </c>
    </row>
    <row r="50" spans="1:21" x14ac:dyDescent="0.25">
      <c r="A50" s="5" t="s">
        <v>61</v>
      </c>
      <c r="B50" s="1">
        <v>360</v>
      </c>
      <c r="C50" s="1">
        <v>300</v>
      </c>
      <c r="D50" s="1">
        <v>12.5</v>
      </c>
      <c r="E50" s="1">
        <v>22.5</v>
      </c>
      <c r="F50" s="1">
        <v>27</v>
      </c>
      <c r="G50" s="1">
        <v>18060</v>
      </c>
      <c r="H50" s="1">
        <v>142</v>
      </c>
      <c r="I50" s="1">
        <v>315</v>
      </c>
      <c r="J50" s="1">
        <v>261</v>
      </c>
      <c r="K50" s="1" t="s">
        <v>22</v>
      </c>
      <c r="L50" s="1">
        <v>122</v>
      </c>
      <c r="M50" s="1">
        <v>198</v>
      </c>
      <c r="N50" s="1">
        <v>1849</v>
      </c>
      <c r="O50" s="1">
        <v>431900000</v>
      </c>
      <c r="P50" s="1">
        <v>2400000</v>
      </c>
      <c r="Q50" s="1">
        <v>2683000</v>
      </c>
      <c r="R50" s="1">
        <v>101400000</v>
      </c>
      <c r="S50" s="1">
        <v>676100</v>
      </c>
      <c r="T50" s="1">
        <v>1032000</v>
      </c>
      <c r="U50" s="6" t="s">
        <v>103</v>
      </c>
    </row>
    <row r="51" spans="1:21" x14ac:dyDescent="0.25">
      <c r="A51" s="5" t="s">
        <v>74</v>
      </c>
      <c r="B51" s="1">
        <v>310</v>
      </c>
      <c r="C51" s="1">
        <v>288</v>
      </c>
      <c r="D51" s="1">
        <v>18.5</v>
      </c>
      <c r="E51" s="1">
        <v>33</v>
      </c>
      <c r="F51" s="1">
        <v>24</v>
      </c>
      <c r="G51" s="1">
        <v>24020</v>
      </c>
      <c r="H51" s="1">
        <v>189</v>
      </c>
      <c r="I51" s="1">
        <v>244</v>
      </c>
      <c r="J51" s="1">
        <v>196</v>
      </c>
      <c r="K51" s="1" t="s">
        <v>22</v>
      </c>
      <c r="L51" s="1">
        <v>122</v>
      </c>
      <c r="M51" s="1">
        <v>186</v>
      </c>
      <c r="N51" s="1">
        <v>1694</v>
      </c>
      <c r="O51" s="1">
        <v>395500000</v>
      </c>
      <c r="P51" s="1">
        <v>2551000</v>
      </c>
      <c r="Q51" s="1">
        <v>2966000</v>
      </c>
      <c r="R51" s="1">
        <v>131600000</v>
      </c>
      <c r="S51" s="1">
        <v>914100</v>
      </c>
      <c r="T51" s="1">
        <v>1397000</v>
      </c>
      <c r="U51" s="6" t="s">
        <v>103</v>
      </c>
    </row>
    <row r="52" spans="1:21" x14ac:dyDescent="0.25">
      <c r="A52" s="5" t="s">
        <v>62</v>
      </c>
      <c r="B52" s="1">
        <v>400</v>
      </c>
      <c r="C52" s="1">
        <v>300</v>
      </c>
      <c r="D52" s="1">
        <v>13.5</v>
      </c>
      <c r="E52" s="1">
        <v>24</v>
      </c>
      <c r="F52" s="1">
        <v>27</v>
      </c>
      <c r="G52" s="1">
        <v>19780</v>
      </c>
      <c r="H52" s="1">
        <v>155</v>
      </c>
      <c r="I52" s="1">
        <v>352</v>
      </c>
      <c r="J52" s="1">
        <v>298</v>
      </c>
      <c r="K52" s="1" t="s">
        <v>22</v>
      </c>
      <c r="L52" s="1">
        <v>124</v>
      </c>
      <c r="M52" s="1">
        <v>198</v>
      </c>
      <c r="N52" s="1">
        <v>1927</v>
      </c>
      <c r="O52" s="1">
        <v>576800000</v>
      </c>
      <c r="P52" s="1">
        <v>2884000</v>
      </c>
      <c r="Q52" s="1">
        <v>3232000</v>
      </c>
      <c r="R52" s="1">
        <v>108200000</v>
      </c>
      <c r="S52" s="1">
        <v>721300</v>
      </c>
      <c r="T52" s="1">
        <v>1104000</v>
      </c>
      <c r="U52" s="6" t="s">
        <v>103</v>
      </c>
    </row>
    <row r="53" spans="1:21" x14ac:dyDescent="0.25">
      <c r="A53" s="5" t="s">
        <v>47</v>
      </c>
      <c r="B53" s="1">
        <v>440</v>
      </c>
      <c r="C53" s="1">
        <v>300</v>
      </c>
      <c r="D53" s="1">
        <v>11.5</v>
      </c>
      <c r="E53" s="1">
        <v>21</v>
      </c>
      <c r="F53" s="1">
        <v>27</v>
      </c>
      <c r="G53" s="1">
        <v>17800</v>
      </c>
      <c r="H53" s="1">
        <v>140</v>
      </c>
      <c r="I53" s="1">
        <v>398</v>
      </c>
      <c r="J53" s="1">
        <v>344</v>
      </c>
      <c r="K53" s="1" t="s">
        <v>22</v>
      </c>
      <c r="L53" s="1">
        <v>122</v>
      </c>
      <c r="M53" s="1">
        <v>198</v>
      </c>
      <c r="N53" s="1">
        <v>2011</v>
      </c>
      <c r="O53" s="1">
        <v>637200000</v>
      </c>
      <c r="P53" s="1">
        <v>2896000</v>
      </c>
      <c r="Q53" s="1">
        <v>3216000</v>
      </c>
      <c r="R53" s="1">
        <v>94650000</v>
      </c>
      <c r="S53" s="1">
        <v>631000</v>
      </c>
      <c r="T53" s="1">
        <v>695500</v>
      </c>
      <c r="U53" s="6" t="s">
        <v>103</v>
      </c>
    </row>
    <row r="54" spans="1:21" x14ac:dyDescent="0.25">
      <c r="A54" s="5" t="s">
        <v>75</v>
      </c>
      <c r="B54" s="1">
        <v>340</v>
      </c>
      <c r="C54" s="1">
        <v>310</v>
      </c>
      <c r="D54" s="1">
        <v>21</v>
      </c>
      <c r="E54" s="1">
        <v>39</v>
      </c>
      <c r="F54" s="1">
        <v>27</v>
      </c>
      <c r="G54" s="1">
        <v>30310</v>
      </c>
      <c r="H54" s="1">
        <v>238</v>
      </c>
      <c r="I54" s="1">
        <v>262</v>
      </c>
      <c r="J54" s="1">
        <v>208</v>
      </c>
      <c r="K54" s="1" t="s">
        <v>22</v>
      </c>
      <c r="L54" s="1">
        <v>132</v>
      </c>
      <c r="M54" s="1">
        <v>208</v>
      </c>
      <c r="N54" s="1">
        <v>1832</v>
      </c>
      <c r="O54" s="1">
        <v>592000000</v>
      </c>
      <c r="P54" s="1">
        <v>3482000</v>
      </c>
      <c r="Q54" s="1">
        <v>4078000</v>
      </c>
      <c r="R54" s="1">
        <v>194000000</v>
      </c>
      <c r="S54" s="1">
        <v>1252000</v>
      </c>
      <c r="T54" s="1">
        <v>1913000</v>
      </c>
      <c r="U54" s="6" t="s">
        <v>103</v>
      </c>
    </row>
    <row r="55" spans="1:21" x14ac:dyDescent="0.25">
      <c r="A55" s="5" t="s">
        <v>48</v>
      </c>
      <c r="B55" s="1">
        <v>490</v>
      </c>
      <c r="C55" s="1">
        <v>300</v>
      </c>
      <c r="D55" s="1">
        <v>12</v>
      </c>
      <c r="E55" s="1">
        <v>23</v>
      </c>
      <c r="F55" s="1">
        <v>27</v>
      </c>
      <c r="G55" s="1">
        <v>19750</v>
      </c>
      <c r="H55" s="1">
        <v>155</v>
      </c>
      <c r="I55" s="1">
        <v>444</v>
      </c>
      <c r="J55" s="1">
        <v>390</v>
      </c>
      <c r="K55" s="1" t="s">
        <v>22</v>
      </c>
      <c r="L55" s="1">
        <v>122</v>
      </c>
      <c r="M55" s="1">
        <v>198</v>
      </c>
      <c r="N55" s="1">
        <v>2110</v>
      </c>
      <c r="O55" s="1">
        <v>869700000</v>
      </c>
      <c r="P55" s="1">
        <v>3550000</v>
      </c>
      <c r="Q55" s="1">
        <v>3949000</v>
      </c>
      <c r="R55" s="1">
        <v>103700000</v>
      </c>
      <c r="S55" s="1">
        <v>691100</v>
      </c>
      <c r="T55" s="1">
        <v>1059000</v>
      </c>
      <c r="U55" s="6" t="s">
        <v>103</v>
      </c>
    </row>
    <row r="56" spans="1:21" x14ac:dyDescent="0.25">
      <c r="A56" s="5" t="s">
        <v>63</v>
      </c>
      <c r="B56" s="1">
        <v>450</v>
      </c>
      <c r="C56" s="1">
        <v>300</v>
      </c>
      <c r="D56" s="1">
        <v>14</v>
      </c>
      <c r="E56" s="1">
        <v>26</v>
      </c>
      <c r="F56" s="1">
        <v>27</v>
      </c>
      <c r="G56" s="1">
        <v>21800</v>
      </c>
      <c r="H56" s="1">
        <v>171</v>
      </c>
      <c r="I56" s="1">
        <v>398</v>
      </c>
      <c r="J56" s="1">
        <v>344</v>
      </c>
      <c r="K56" s="1" t="s">
        <v>22</v>
      </c>
      <c r="L56" s="1">
        <v>124</v>
      </c>
      <c r="M56" s="1">
        <v>198</v>
      </c>
      <c r="N56" s="1">
        <v>2026</v>
      </c>
      <c r="O56" s="1">
        <v>798900000</v>
      </c>
      <c r="P56" s="1">
        <v>3551000</v>
      </c>
      <c r="Q56" s="1">
        <v>3982000</v>
      </c>
      <c r="R56" s="1">
        <v>117200000</v>
      </c>
      <c r="S56" s="1">
        <v>781400</v>
      </c>
      <c r="T56" s="1">
        <v>1198000</v>
      </c>
      <c r="U56" s="6" t="s">
        <v>103</v>
      </c>
    </row>
    <row r="57" spans="1:21" x14ac:dyDescent="0.25">
      <c r="A57" s="5" t="s">
        <v>76</v>
      </c>
      <c r="B57" s="1">
        <v>359</v>
      </c>
      <c r="C57" s="1">
        <v>309</v>
      </c>
      <c r="D57" s="1">
        <v>21</v>
      </c>
      <c r="E57" s="1">
        <v>40</v>
      </c>
      <c r="F57" s="1">
        <v>27</v>
      </c>
      <c r="G57" s="1">
        <v>31200</v>
      </c>
      <c r="H57" s="1">
        <v>245</v>
      </c>
      <c r="I57" s="1">
        <v>279</v>
      </c>
      <c r="J57" s="1">
        <v>225</v>
      </c>
      <c r="K57" s="1" t="s">
        <v>22</v>
      </c>
      <c r="L57" s="1">
        <v>132</v>
      </c>
      <c r="M57" s="1">
        <v>204</v>
      </c>
      <c r="N57" s="1">
        <v>1866</v>
      </c>
      <c r="O57" s="1">
        <v>681300000</v>
      </c>
      <c r="P57" s="1">
        <v>3796000</v>
      </c>
      <c r="Q57" s="1">
        <v>4435000</v>
      </c>
      <c r="R57" s="1">
        <v>197100000</v>
      </c>
      <c r="S57" s="1">
        <v>1276000</v>
      </c>
      <c r="T57" s="1">
        <v>1951000</v>
      </c>
      <c r="U57" s="6" t="s">
        <v>103</v>
      </c>
    </row>
    <row r="58" spans="1:21" x14ac:dyDescent="0.25">
      <c r="A58" s="5" t="s">
        <v>77</v>
      </c>
      <c r="B58" s="1">
        <v>377</v>
      </c>
      <c r="C58" s="1">
        <v>309</v>
      </c>
      <c r="D58" s="1">
        <v>21</v>
      </c>
      <c r="E58" s="1">
        <v>40</v>
      </c>
      <c r="F58" s="1">
        <v>27</v>
      </c>
      <c r="G58" s="1">
        <v>31580</v>
      </c>
      <c r="H58" s="1">
        <v>248</v>
      </c>
      <c r="I58" s="1">
        <v>297</v>
      </c>
      <c r="J58" s="1">
        <v>243</v>
      </c>
      <c r="K58" s="1" t="s">
        <v>22</v>
      </c>
      <c r="L58" s="1">
        <v>132</v>
      </c>
      <c r="M58" s="1">
        <v>204</v>
      </c>
      <c r="N58" s="1">
        <v>1902</v>
      </c>
      <c r="O58" s="1">
        <v>763700000</v>
      </c>
      <c r="P58" s="1">
        <v>4052000</v>
      </c>
      <c r="Q58" s="1">
        <v>4718000</v>
      </c>
      <c r="R58" s="1">
        <v>197100000</v>
      </c>
      <c r="S58" s="1">
        <v>1276000</v>
      </c>
      <c r="T58" s="1">
        <v>1953000</v>
      </c>
      <c r="U58" s="6" t="s">
        <v>103</v>
      </c>
    </row>
    <row r="59" spans="1:21" x14ac:dyDescent="0.25">
      <c r="A59" s="5" t="s">
        <v>96</v>
      </c>
      <c r="B59" s="1">
        <v>540</v>
      </c>
      <c r="C59" s="1">
        <v>300</v>
      </c>
      <c r="D59" s="1">
        <v>12.5</v>
      </c>
      <c r="E59" s="1">
        <v>24</v>
      </c>
      <c r="F59" s="1"/>
      <c r="G59" s="1">
        <v>21176</v>
      </c>
      <c r="H59" s="1">
        <v>169</v>
      </c>
      <c r="I59" s="1"/>
      <c r="J59" s="1"/>
      <c r="K59" s="1"/>
      <c r="L59" s="1"/>
      <c r="M59" s="1"/>
      <c r="N59" s="1"/>
      <c r="O59" s="1">
        <v>1119320000</v>
      </c>
      <c r="P59" s="1">
        <v>4146000</v>
      </c>
      <c r="Q59" s="1"/>
      <c r="R59" s="1">
        <v>108190000</v>
      </c>
      <c r="S59" s="1">
        <v>721000</v>
      </c>
      <c r="T59" s="1"/>
      <c r="U59" s="6" t="s">
        <v>103</v>
      </c>
    </row>
    <row r="60" spans="1:21" x14ac:dyDescent="0.25">
      <c r="A60" s="5" t="s">
        <v>64</v>
      </c>
      <c r="B60" s="1">
        <v>500</v>
      </c>
      <c r="C60" s="1">
        <v>300</v>
      </c>
      <c r="D60" s="1">
        <v>14.5</v>
      </c>
      <c r="E60" s="1">
        <v>28</v>
      </c>
      <c r="F60" s="1">
        <v>27</v>
      </c>
      <c r="G60" s="1">
        <v>23860</v>
      </c>
      <c r="H60" s="1">
        <v>187</v>
      </c>
      <c r="I60" s="1">
        <v>444</v>
      </c>
      <c r="J60" s="1">
        <v>390</v>
      </c>
      <c r="K60" s="1" t="s">
        <v>22</v>
      </c>
      <c r="L60" s="1">
        <v>124</v>
      </c>
      <c r="M60" s="1">
        <v>198</v>
      </c>
      <c r="N60" s="1">
        <v>2125</v>
      </c>
      <c r="O60" s="1">
        <v>1072000000</v>
      </c>
      <c r="P60" s="1">
        <v>4287000</v>
      </c>
      <c r="Q60" s="1">
        <v>4815000</v>
      </c>
      <c r="R60" s="1">
        <v>126200000</v>
      </c>
      <c r="S60" s="1">
        <v>841600</v>
      </c>
      <c r="T60" s="1">
        <v>1292000</v>
      </c>
      <c r="U60" s="6" t="s">
        <v>103</v>
      </c>
    </row>
    <row r="61" spans="1:21" x14ac:dyDescent="0.25">
      <c r="A61" s="5" t="s">
        <v>78</v>
      </c>
      <c r="B61" s="1">
        <v>395</v>
      </c>
      <c r="C61" s="1">
        <v>308</v>
      </c>
      <c r="D61" s="1">
        <v>21</v>
      </c>
      <c r="E61" s="1">
        <v>40</v>
      </c>
      <c r="F61" s="1">
        <v>27</v>
      </c>
      <c r="G61" s="1">
        <v>31880</v>
      </c>
      <c r="H61" s="1">
        <v>250</v>
      </c>
      <c r="I61" s="1">
        <v>315</v>
      </c>
      <c r="J61" s="1">
        <v>261</v>
      </c>
      <c r="K61" s="1" t="s">
        <v>22</v>
      </c>
      <c r="L61" s="1">
        <v>132</v>
      </c>
      <c r="M61" s="1">
        <v>204</v>
      </c>
      <c r="N61" s="1">
        <v>1934</v>
      </c>
      <c r="O61" s="1">
        <v>848700000</v>
      </c>
      <c r="P61" s="1">
        <v>4297000</v>
      </c>
      <c r="Q61" s="1">
        <v>4989000</v>
      </c>
      <c r="R61" s="1">
        <v>195200000</v>
      </c>
      <c r="S61" s="1">
        <v>1268000</v>
      </c>
      <c r="T61" s="1">
        <v>1942000</v>
      </c>
      <c r="U61" s="6" t="s">
        <v>103</v>
      </c>
    </row>
    <row r="62" spans="1:21" x14ac:dyDescent="0.25">
      <c r="A62" s="5" t="s">
        <v>97</v>
      </c>
      <c r="B62" s="1">
        <v>590</v>
      </c>
      <c r="C62" s="1">
        <v>300</v>
      </c>
      <c r="D62" s="1">
        <v>13</v>
      </c>
      <c r="E62" s="1">
        <v>25</v>
      </c>
      <c r="F62" s="1"/>
      <c r="G62" s="1">
        <v>22646</v>
      </c>
      <c r="H62" s="1">
        <v>181</v>
      </c>
      <c r="I62" s="1"/>
      <c r="J62" s="1"/>
      <c r="K62" s="1"/>
      <c r="L62" s="1"/>
      <c r="M62" s="1"/>
      <c r="N62" s="1"/>
      <c r="O62" s="1">
        <v>1412080000</v>
      </c>
      <c r="P62" s="1">
        <v>4787000</v>
      </c>
      <c r="Q62" s="1"/>
      <c r="R62" s="1">
        <v>112710000</v>
      </c>
      <c r="S62" s="1">
        <v>751000</v>
      </c>
      <c r="T62" s="1"/>
      <c r="U62" s="6" t="s">
        <v>103</v>
      </c>
    </row>
    <row r="63" spans="1:21" x14ac:dyDescent="0.25">
      <c r="A63" s="5" t="s">
        <v>79</v>
      </c>
      <c r="B63" s="1">
        <v>432</v>
      </c>
      <c r="C63" s="1">
        <v>307</v>
      </c>
      <c r="D63" s="1">
        <v>21</v>
      </c>
      <c r="E63" s="1">
        <v>40</v>
      </c>
      <c r="F63" s="1">
        <v>27</v>
      </c>
      <c r="G63" s="1">
        <v>32580</v>
      </c>
      <c r="H63" s="1">
        <v>256</v>
      </c>
      <c r="I63" s="1">
        <v>352</v>
      </c>
      <c r="J63" s="1">
        <v>298</v>
      </c>
      <c r="K63" s="1" t="s">
        <v>22</v>
      </c>
      <c r="L63" s="1">
        <v>132</v>
      </c>
      <c r="M63" s="1">
        <v>202</v>
      </c>
      <c r="N63" s="1">
        <v>2004</v>
      </c>
      <c r="O63" s="1">
        <v>1041000000</v>
      </c>
      <c r="P63" s="1">
        <v>4820000</v>
      </c>
      <c r="Q63" s="1">
        <v>5571000</v>
      </c>
      <c r="R63" s="1">
        <v>193400000</v>
      </c>
      <c r="S63" s="1">
        <v>1260000</v>
      </c>
      <c r="T63" s="1">
        <v>1934000</v>
      </c>
      <c r="U63" s="6" t="s">
        <v>103</v>
      </c>
    </row>
    <row r="64" spans="1:21" x14ac:dyDescent="0.25">
      <c r="A64" s="5" t="s">
        <v>89</v>
      </c>
      <c r="B64" s="1">
        <v>550</v>
      </c>
      <c r="C64" s="1">
        <v>300</v>
      </c>
      <c r="D64" s="1">
        <v>15</v>
      </c>
      <c r="E64" s="1">
        <v>29</v>
      </c>
      <c r="F64" s="1"/>
      <c r="G64" s="1">
        <v>25406</v>
      </c>
      <c r="H64" s="1">
        <v>203</v>
      </c>
      <c r="I64" s="1"/>
      <c r="J64" s="1"/>
      <c r="K64" s="1"/>
      <c r="L64" s="1"/>
      <c r="M64" s="1"/>
      <c r="N64" s="1"/>
      <c r="O64" s="1">
        <v>1366910000</v>
      </c>
      <c r="P64" s="1">
        <v>4971000</v>
      </c>
      <c r="Q64" s="1"/>
      <c r="R64" s="1">
        <v>130770000</v>
      </c>
      <c r="S64" s="1">
        <v>872000</v>
      </c>
      <c r="T64" s="1"/>
      <c r="U64" s="6" t="s">
        <v>103</v>
      </c>
    </row>
    <row r="65" spans="1:21" x14ac:dyDescent="0.25">
      <c r="A65" s="5" t="s">
        <v>98</v>
      </c>
      <c r="B65" s="1">
        <v>640</v>
      </c>
      <c r="C65" s="1">
        <v>300</v>
      </c>
      <c r="D65" s="1">
        <v>13.5</v>
      </c>
      <c r="E65" s="1">
        <v>26</v>
      </c>
      <c r="F65" s="1"/>
      <c r="G65" s="1">
        <v>24164</v>
      </c>
      <c r="H65" s="1">
        <v>193</v>
      </c>
      <c r="I65" s="1"/>
      <c r="J65" s="1"/>
      <c r="K65" s="1"/>
      <c r="L65" s="1"/>
      <c r="M65" s="1"/>
      <c r="N65" s="1"/>
      <c r="O65" s="1">
        <v>1751780000</v>
      </c>
      <c r="P65" s="1">
        <v>5474000</v>
      </c>
      <c r="Q65" s="1"/>
      <c r="R65" s="1">
        <v>117240000</v>
      </c>
      <c r="S65" s="1">
        <v>782000</v>
      </c>
      <c r="T65" s="1"/>
      <c r="U65" s="6" t="s">
        <v>103</v>
      </c>
    </row>
    <row r="66" spans="1:21" x14ac:dyDescent="0.25">
      <c r="A66" s="5" t="s">
        <v>80</v>
      </c>
      <c r="B66" s="1">
        <v>478</v>
      </c>
      <c r="C66" s="1">
        <v>307</v>
      </c>
      <c r="D66" s="1">
        <v>21</v>
      </c>
      <c r="E66" s="1">
        <v>40</v>
      </c>
      <c r="F66" s="1">
        <v>27</v>
      </c>
      <c r="G66" s="1">
        <v>33540</v>
      </c>
      <c r="H66" s="1">
        <v>263</v>
      </c>
      <c r="I66" s="1">
        <v>398</v>
      </c>
      <c r="J66" s="1">
        <v>344</v>
      </c>
      <c r="K66" s="1" t="s">
        <v>22</v>
      </c>
      <c r="L66" s="1">
        <v>132</v>
      </c>
      <c r="M66" s="1">
        <v>202</v>
      </c>
      <c r="N66" s="1">
        <v>2096</v>
      </c>
      <c r="O66" s="1">
        <v>1315000000</v>
      </c>
      <c r="P66" s="1">
        <v>5501000</v>
      </c>
      <c r="Q66" s="1">
        <v>6331000</v>
      </c>
      <c r="R66" s="1">
        <v>193400000</v>
      </c>
      <c r="S66" s="1">
        <v>1260000</v>
      </c>
      <c r="T66" s="1">
        <v>1939000</v>
      </c>
      <c r="U66" s="6" t="s">
        <v>103</v>
      </c>
    </row>
    <row r="67" spans="1:21" x14ac:dyDescent="0.25">
      <c r="A67" s="5" t="s">
        <v>90</v>
      </c>
      <c r="B67" s="1">
        <v>600</v>
      </c>
      <c r="C67" s="1">
        <v>300</v>
      </c>
      <c r="D67" s="1">
        <v>15.5</v>
      </c>
      <c r="E67" s="1">
        <v>30</v>
      </c>
      <c r="F67" s="1"/>
      <c r="G67" s="1">
        <v>26996</v>
      </c>
      <c r="H67" s="1">
        <v>216</v>
      </c>
      <c r="I67" s="1"/>
      <c r="J67" s="1"/>
      <c r="K67" s="1"/>
      <c r="L67" s="1"/>
      <c r="M67" s="1"/>
      <c r="N67" s="1"/>
      <c r="O67" s="1">
        <v>1710410000</v>
      </c>
      <c r="P67" s="1">
        <v>5701000</v>
      </c>
      <c r="Q67" s="1"/>
      <c r="R67" s="1">
        <v>135300000</v>
      </c>
      <c r="S67" s="1">
        <v>902000</v>
      </c>
      <c r="T67" s="1"/>
      <c r="U67" s="6" t="s">
        <v>103</v>
      </c>
    </row>
    <row r="68" spans="1:21" x14ac:dyDescent="0.25">
      <c r="A68" s="5" t="s">
        <v>81</v>
      </c>
      <c r="B68" s="1">
        <v>524</v>
      </c>
      <c r="C68" s="1">
        <v>306</v>
      </c>
      <c r="D68" s="1">
        <v>21</v>
      </c>
      <c r="E68" s="1">
        <v>40</v>
      </c>
      <c r="F68" s="1">
        <v>27</v>
      </c>
      <c r="G68" s="1">
        <v>34430</v>
      </c>
      <c r="H68" s="1">
        <v>270</v>
      </c>
      <c r="I68" s="1">
        <v>444</v>
      </c>
      <c r="J68" s="1">
        <v>390</v>
      </c>
      <c r="K68" s="1" t="s">
        <v>22</v>
      </c>
      <c r="L68" s="1">
        <v>132</v>
      </c>
      <c r="M68" s="1">
        <v>202</v>
      </c>
      <c r="N68" s="1">
        <v>2184</v>
      </c>
      <c r="O68" s="1">
        <v>1619000000</v>
      </c>
      <c r="P68" s="1">
        <v>6180000</v>
      </c>
      <c r="Q68" s="1">
        <v>7094000</v>
      </c>
      <c r="R68" s="1">
        <v>191500000</v>
      </c>
      <c r="S68" s="1">
        <v>1252000</v>
      </c>
      <c r="T68" s="1">
        <v>1932000</v>
      </c>
      <c r="U68" s="6" t="s">
        <v>103</v>
      </c>
    </row>
    <row r="69" spans="1:21" x14ac:dyDescent="0.25">
      <c r="A69" s="5" t="s">
        <v>99</v>
      </c>
      <c r="B69" s="1">
        <v>690</v>
      </c>
      <c r="C69" s="1">
        <v>300</v>
      </c>
      <c r="D69" s="1">
        <v>14.5</v>
      </c>
      <c r="E69" s="1">
        <v>27</v>
      </c>
      <c r="F69" s="1"/>
      <c r="G69" s="1">
        <v>26048</v>
      </c>
      <c r="H69" s="1">
        <v>208</v>
      </c>
      <c r="I69" s="1"/>
      <c r="J69" s="1"/>
      <c r="K69" s="1"/>
      <c r="L69" s="1"/>
      <c r="M69" s="1"/>
      <c r="N69" s="1"/>
      <c r="O69" s="1">
        <v>2153010000</v>
      </c>
      <c r="P69" s="1">
        <v>6241000</v>
      </c>
      <c r="Q69" s="1"/>
      <c r="R69" s="1">
        <v>121790000</v>
      </c>
      <c r="S69" s="1">
        <v>812000</v>
      </c>
      <c r="T69" s="1"/>
      <c r="U69" s="6" t="s">
        <v>103</v>
      </c>
    </row>
    <row r="70" spans="1:21" x14ac:dyDescent="0.25">
      <c r="A70" s="5" t="s">
        <v>91</v>
      </c>
      <c r="B70" s="1">
        <v>650</v>
      </c>
      <c r="C70" s="1">
        <v>300</v>
      </c>
      <c r="D70" s="1">
        <v>16</v>
      </c>
      <c r="E70" s="1">
        <v>31</v>
      </c>
      <c r="F70" s="1"/>
      <c r="G70" s="1">
        <v>28634</v>
      </c>
      <c r="H70" s="1">
        <v>229</v>
      </c>
      <c r="I70" s="1"/>
      <c r="J70" s="1"/>
      <c r="K70" s="1"/>
      <c r="L70" s="1"/>
      <c r="M70" s="1"/>
      <c r="N70" s="1"/>
      <c r="O70" s="1">
        <v>2106160000</v>
      </c>
      <c r="P70" s="1">
        <v>6480000</v>
      </c>
      <c r="Q70" s="1"/>
      <c r="R70" s="1">
        <v>139840000</v>
      </c>
      <c r="S70" s="1">
        <v>932000</v>
      </c>
      <c r="T70" s="1"/>
      <c r="U70" s="6" t="s">
        <v>103</v>
      </c>
    </row>
    <row r="71" spans="1:21" x14ac:dyDescent="0.25">
      <c r="A71" s="5" t="s">
        <v>92</v>
      </c>
      <c r="B71" s="1">
        <v>700</v>
      </c>
      <c r="C71" s="1">
        <v>300</v>
      </c>
      <c r="D71" s="1">
        <v>17</v>
      </c>
      <c r="E71" s="1">
        <v>32</v>
      </c>
      <c r="F71" s="1"/>
      <c r="G71" s="1">
        <v>30638</v>
      </c>
      <c r="H71" s="1">
        <v>245</v>
      </c>
      <c r="I71" s="1"/>
      <c r="J71" s="1"/>
      <c r="K71" s="1"/>
      <c r="L71" s="1"/>
      <c r="M71" s="1"/>
      <c r="N71" s="1"/>
      <c r="O71" s="1">
        <v>2568880000</v>
      </c>
      <c r="P71" s="1">
        <v>7340000</v>
      </c>
      <c r="Q71" s="1"/>
      <c r="R71" s="1">
        <v>144410000</v>
      </c>
      <c r="S71" s="1">
        <v>963000</v>
      </c>
      <c r="T71" s="1"/>
      <c r="U71" s="6" t="s">
        <v>103</v>
      </c>
    </row>
    <row r="72" spans="1:21" x14ac:dyDescent="0.25">
      <c r="A72" s="5" t="s">
        <v>100</v>
      </c>
      <c r="B72" s="1">
        <v>790</v>
      </c>
      <c r="C72" s="1">
        <v>300</v>
      </c>
      <c r="D72" s="1">
        <v>15</v>
      </c>
      <c r="E72" s="1">
        <v>28</v>
      </c>
      <c r="F72" s="1"/>
      <c r="G72" s="1">
        <v>28583</v>
      </c>
      <c r="H72" s="1">
        <v>229</v>
      </c>
      <c r="I72" s="1"/>
      <c r="J72" s="1"/>
      <c r="K72" s="1"/>
      <c r="L72" s="1"/>
      <c r="M72" s="1"/>
      <c r="N72" s="1"/>
      <c r="O72" s="1">
        <v>3034430000</v>
      </c>
      <c r="P72" s="1">
        <v>7682000</v>
      </c>
      <c r="Q72" s="1"/>
      <c r="R72" s="1">
        <v>126390000</v>
      </c>
      <c r="S72" s="1">
        <v>843000</v>
      </c>
      <c r="T72" s="1"/>
      <c r="U72" s="6" t="s">
        <v>103</v>
      </c>
    </row>
    <row r="73" spans="1:21" x14ac:dyDescent="0.25">
      <c r="A73" s="5" t="s">
        <v>93</v>
      </c>
      <c r="B73" s="1">
        <v>800</v>
      </c>
      <c r="C73" s="1">
        <v>300</v>
      </c>
      <c r="D73" s="1">
        <v>17.5</v>
      </c>
      <c r="E73" s="1">
        <v>33</v>
      </c>
      <c r="F73" s="1"/>
      <c r="G73" s="1">
        <v>33418</v>
      </c>
      <c r="H73" s="1">
        <v>267</v>
      </c>
      <c r="I73" s="1"/>
      <c r="J73" s="1"/>
      <c r="K73" s="1"/>
      <c r="L73" s="1"/>
      <c r="M73" s="1"/>
      <c r="N73" s="1"/>
      <c r="O73" s="1">
        <v>3590840000</v>
      </c>
      <c r="P73" s="1">
        <v>8977000</v>
      </c>
      <c r="Q73" s="1"/>
      <c r="R73" s="1">
        <v>149040000</v>
      </c>
      <c r="S73" s="1">
        <v>994000</v>
      </c>
      <c r="T73" s="1"/>
      <c r="U73" s="6" t="s">
        <v>103</v>
      </c>
    </row>
    <row r="74" spans="1:21" x14ac:dyDescent="0.25">
      <c r="A74" s="5" t="s">
        <v>101</v>
      </c>
      <c r="B74" s="1">
        <v>890</v>
      </c>
      <c r="C74" s="1">
        <v>300</v>
      </c>
      <c r="D74" s="1">
        <v>16</v>
      </c>
      <c r="E74" s="1">
        <v>30</v>
      </c>
      <c r="F74" s="1"/>
      <c r="G74" s="1">
        <v>32053</v>
      </c>
      <c r="H74" s="1">
        <v>256</v>
      </c>
      <c r="I74" s="1"/>
      <c r="J74" s="1"/>
      <c r="K74" s="1"/>
      <c r="L74" s="1"/>
      <c r="M74" s="1"/>
      <c r="N74" s="1"/>
      <c r="O74" s="1">
        <v>4220750000</v>
      </c>
      <c r="P74" s="1">
        <v>9485000</v>
      </c>
      <c r="Q74" s="1"/>
      <c r="R74" s="1">
        <v>135470000</v>
      </c>
      <c r="S74" s="1">
        <v>903000</v>
      </c>
      <c r="T74" s="1"/>
      <c r="U74" s="6" t="s">
        <v>103</v>
      </c>
    </row>
    <row r="75" spans="1:21" x14ac:dyDescent="0.25">
      <c r="A75" s="5" t="s">
        <v>94</v>
      </c>
      <c r="B75" s="1">
        <v>900</v>
      </c>
      <c r="C75" s="1">
        <v>300</v>
      </c>
      <c r="D75" s="1">
        <v>18.5</v>
      </c>
      <c r="E75" s="1">
        <v>35</v>
      </c>
      <c r="F75" s="1"/>
      <c r="G75" s="1">
        <v>37128</v>
      </c>
      <c r="H75" s="1">
        <v>297</v>
      </c>
      <c r="I75" s="1"/>
      <c r="J75" s="1"/>
      <c r="K75" s="1"/>
      <c r="L75" s="1"/>
      <c r="M75" s="1"/>
      <c r="N75" s="1"/>
      <c r="O75" s="1">
        <v>4940650000</v>
      </c>
      <c r="P75" s="1">
        <v>10979000</v>
      </c>
      <c r="Q75" s="1"/>
      <c r="R75" s="1">
        <v>158160000</v>
      </c>
      <c r="S75" s="1">
        <v>1054000</v>
      </c>
      <c r="T75" s="1"/>
      <c r="U75" s="6" t="s">
        <v>103</v>
      </c>
    </row>
    <row r="76" spans="1:21" x14ac:dyDescent="0.25">
      <c r="A76" s="5" t="s">
        <v>102</v>
      </c>
      <c r="B76" s="1">
        <v>990</v>
      </c>
      <c r="C76" s="1">
        <v>300</v>
      </c>
      <c r="D76" s="1">
        <v>16.5</v>
      </c>
      <c r="E76" s="1">
        <v>31</v>
      </c>
      <c r="F76" s="1"/>
      <c r="G76" s="1">
        <v>34685</v>
      </c>
      <c r="H76" s="1">
        <v>277</v>
      </c>
      <c r="I76" s="1"/>
      <c r="J76" s="1"/>
      <c r="K76" s="1"/>
      <c r="L76" s="1"/>
      <c r="M76" s="1"/>
      <c r="N76" s="1"/>
      <c r="O76" s="1">
        <v>5538460000</v>
      </c>
      <c r="P76" s="1">
        <v>11189000</v>
      </c>
      <c r="Q76" s="1"/>
      <c r="R76" s="1">
        <v>140040000</v>
      </c>
      <c r="S76" s="1">
        <v>934000</v>
      </c>
      <c r="T76" s="1"/>
      <c r="U76" s="6" t="s">
        <v>103</v>
      </c>
    </row>
    <row r="77" spans="1:21" x14ac:dyDescent="0.25">
      <c r="A77" s="10" t="s">
        <v>95</v>
      </c>
      <c r="B77" s="11">
        <v>1000</v>
      </c>
      <c r="C77" s="11">
        <v>300</v>
      </c>
      <c r="D77" s="11">
        <v>19</v>
      </c>
      <c r="E77" s="11">
        <v>36</v>
      </c>
      <c r="F77" s="11"/>
      <c r="G77" s="11">
        <v>40005</v>
      </c>
      <c r="H77" s="11">
        <v>320</v>
      </c>
      <c r="I77" s="11"/>
      <c r="J77" s="11"/>
      <c r="K77" s="11"/>
      <c r="L77" s="11"/>
      <c r="M77" s="11"/>
      <c r="N77" s="11"/>
      <c r="O77" s="11">
        <v>6447480000</v>
      </c>
      <c r="P77" s="11">
        <v>12895000</v>
      </c>
      <c r="Q77" s="11"/>
      <c r="R77" s="11">
        <v>162760000</v>
      </c>
      <c r="S77" s="11">
        <v>1085000</v>
      </c>
      <c r="T77" s="11"/>
      <c r="U77" s="12" t="s">
        <v>103</v>
      </c>
    </row>
  </sheetData>
  <sheetProtection sheet="1" selectLockedCells="1" sort="0" autoFilter="0"/>
  <protectedRanges>
    <protectedRange sqref="A13:U77" name="Filteren"/>
  </protectedRanges>
  <mergeCells count="17">
    <mergeCell ref="T1:V1"/>
    <mergeCell ref="F5:H5"/>
    <mergeCell ref="I11:M11"/>
    <mergeCell ref="O11:Q11"/>
    <mergeCell ref="R11:T11"/>
    <mergeCell ref="B11:F11"/>
    <mergeCell ref="J5:L5"/>
    <mergeCell ref="Y33:AA33"/>
    <mergeCell ref="AC33:AE33"/>
    <mergeCell ref="Y15:AE15"/>
    <mergeCell ref="Y24:AE24"/>
    <mergeCell ref="Y17:AA17"/>
    <mergeCell ref="Y25:AA25"/>
    <mergeCell ref="AC17:AE17"/>
    <mergeCell ref="AC25:AE25"/>
    <mergeCell ref="Y16:AA16"/>
    <mergeCell ref="AC16:AE16"/>
  </mergeCells>
  <dataValidations count="2">
    <dataValidation type="list" allowBlank="1" showInputMessage="1" showErrorMessage="1" sqref="C1" xr:uid="{DA75BAEA-80F7-4D9F-901E-634A91A2A3AA}">
      <formula1>$A$14:$A$77</formula1>
    </dataValidation>
    <dataValidation type="list" allowBlank="1" showInputMessage="1" showErrorMessage="1" sqref="C2" xr:uid="{6F67947A-3E8E-48C5-A362-6FE7C9586F8D}">
      <formula1>$T$3:$T$5</formula1>
    </dataValidation>
  </dataValidations>
  <hyperlinks>
    <hyperlink ref="AD37" r:id="rId1" display="https://milieudatabase.nl/nl/viewer/milieuverklaring/nmd_40447/" xr:uid="{37ADC249-FED3-4CBC-B62C-FC1AB3BA3EAB}"/>
    <hyperlink ref="Z37" r:id="rId2" display="https://milieudatabase.nl/nl/viewer/milieuverklaring/nmd_90901/" xr:uid="{3E6E971D-1DA9-4FB7-A3EF-F935D81BE999}"/>
    <hyperlink ref="AH35" r:id="rId3" display="https://milieudatabase.nl/nl/viewer/milieuverklaring/nmd_44595/" xr:uid="{B3D5B184-0BF3-48FF-BC70-CAA0A7870452}"/>
  </hyperlinks>
  <pageMargins left="0.7" right="0.7" top="0.75" bottom="0.75" header="0.3" footer="0.3"/>
  <pageSetup paperSize="9" orientation="portrait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e58a4-f2e7-4ebf-b6fc-9af417fdb901">
      <Terms xmlns="http://schemas.microsoft.com/office/infopath/2007/PartnerControls"/>
    </lcf76f155ced4ddcb4097134ff3c332f>
    <TaxCatchAll xmlns="8e99b653-c8ac-4c01-82c1-01c76497ef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9A12BF5FB2C459CE1E0B0E86F8217" ma:contentTypeVersion="17" ma:contentTypeDescription="Een nieuw document maken." ma:contentTypeScope="" ma:versionID="e8e14f376c590aee2af7f231ac12eec9">
  <xsd:schema xmlns:xsd="http://www.w3.org/2001/XMLSchema" xmlns:xs="http://www.w3.org/2001/XMLSchema" xmlns:p="http://schemas.microsoft.com/office/2006/metadata/properties" xmlns:ns2="eaee58a4-f2e7-4ebf-b6fc-9af417fdb901" xmlns:ns3="8e99b653-c8ac-4c01-82c1-01c76497ef77" targetNamespace="http://schemas.microsoft.com/office/2006/metadata/properties" ma:root="true" ma:fieldsID="24aa39bdab24832d0a0822fcc93ed1be" ns2:_="" ns3:_="">
    <xsd:import namespace="eaee58a4-f2e7-4ebf-b6fc-9af417fdb901"/>
    <xsd:import namespace="8e99b653-c8ac-4c01-82c1-01c76497ef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e58a4-f2e7-4ebf-b6fc-9af417fdb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1523a9d-3c14-431a-b121-64a8543ba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9b653-c8ac-4c01-82c1-01c76497ef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c96661-2c9d-400d-926b-8d44bec8d189}" ma:internalName="TaxCatchAll" ma:showField="CatchAllData" ma:web="8e99b653-c8ac-4c01-82c1-01c76497e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E3134-3B28-461E-B916-A5F7D38A0F81}">
  <ds:schemaRefs>
    <ds:schemaRef ds:uri="http://schemas.microsoft.com/office/2006/metadata/properties"/>
    <ds:schemaRef ds:uri="http://schemas.microsoft.com/office/infopath/2007/PartnerControls"/>
    <ds:schemaRef ds:uri="eaee58a4-f2e7-4ebf-b6fc-9af417fdb901"/>
    <ds:schemaRef ds:uri="8e99b653-c8ac-4c01-82c1-01c76497ef77"/>
  </ds:schemaRefs>
</ds:datastoreItem>
</file>

<file path=customXml/itemProps2.xml><?xml version="1.0" encoding="utf-8"?>
<ds:datastoreItem xmlns:ds="http://schemas.openxmlformats.org/officeDocument/2006/customXml" ds:itemID="{9A162B24-45CC-4139-8AF3-1349ED57B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e58a4-f2e7-4ebf-b6fc-9af417fdb901"/>
    <ds:schemaRef ds:uri="8e99b653-c8ac-4c01-82c1-01c76497e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8099BE-0831-4A85-BD0A-5826F98B73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&lt;Wijzigingsblad&gt;</vt:lpstr>
      <vt:lpstr>Inleiding</vt:lpstr>
      <vt:lpstr>Invoerblad Uit Ontwerp</vt:lpstr>
      <vt:lpstr>Buiten Zoekblad</vt:lpstr>
      <vt:lpstr>Gegevens</vt:lpstr>
      <vt:lpstr>'Buiten Zoekblad'!Afdrukbereik</vt:lpstr>
      <vt:lpstr>'Invoerblad Uit Ontwerp'!Afdrukbereik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Bollen</dc:creator>
  <cp:lastModifiedBy>Rob Bollen</cp:lastModifiedBy>
  <cp:lastPrinted>2023-10-31T13:24:48Z</cp:lastPrinted>
  <dcterms:created xsi:type="dcterms:W3CDTF">2015-03-31T08:59:50Z</dcterms:created>
  <dcterms:modified xsi:type="dcterms:W3CDTF">2024-01-16T09:06:35Z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0x0101006F19A12BF5FB2C459CE1E0B0E86F8217</vt:lpwstr>
  </property>
</Properties>
</file>